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710" windowHeight="9190" activeTab="0"/>
  </bookViews>
  <sheets>
    <sheet name="使い方" sheetId="1" r:id="rId1"/>
    <sheet name="地中熱交換器タイプ確認シート" sheetId="2" r:id="rId2"/>
    <sheet name="【Ver.3.1記入例】" sheetId="3" r:id="rId3"/>
    <sheet name="【記入例-1】" sheetId="4" state="hidden" r:id="rId4"/>
    <sheet name="【記入例-2】" sheetId="5" state="hidden" r:id="rId5"/>
  </sheets>
  <definedNames>
    <definedName name="_xlnm.Print_Area" localSheetId="2">'【Ver.3.1記入例】'!$A$1:$H$40</definedName>
    <definedName name="_xlnm.Print_Area" localSheetId="3">'【記入例-1】'!$A$1:$H$39</definedName>
    <definedName name="_xlnm.Print_Area" localSheetId="4">'【記入例-2】'!$A$1:$H$39</definedName>
    <definedName name="_xlnm.Print_Area" localSheetId="1">'地中熱交換器タイプ確認シート'!$A$1:$H$40</definedName>
  </definedNames>
  <calcPr fullCalcOnLoad="1"/>
</workbook>
</file>

<file path=xl/sharedStrings.xml><?xml version="1.0" encoding="utf-8"?>
<sst xmlns="http://schemas.openxmlformats.org/spreadsheetml/2006/main" count="450" uniqueCount="154">
  <si>
    <t>入力者等：</t>
  </si>
  <si>
    <t>作成日等：</t>
  </si>
  <si>
    <t>○○事務所</t>
  </si>
  <si>
    <t>●入力情報</t>
  </si>
  <si>
    <t>(1) サーマルレスポンス試験による計測値を使う方法</t>
  </si>
  <si>
    <t>lの係数2</t>
  </si>
  <si>
    <t>lの係数1(計算用)</t>
  </si>
  <si>
    <t>　項目</t>
  </si>
  <si>
    <t>1階事務室空調</t>
  </si>
  <si>
    <r>
      <rPr>
        <sz val="11"/>
        <rFont val="Times New Roman"/>
        <family val="1"/>
      </rPr>
      <t xml:space="preserve"> </t>
    </r>
    <r>
      <rPr>
        <sz val="11"/>
        <rFont val="ＭＳ Ｐ明朝"/>
        <family val="1"/>
      </rPr>
      <t>(2) 設計最大熱交換量</t>
    </r>
    <r>
      <rPr>
        <i/>
        <sz val="11"/>
        <rFont val="Times New Roman"/>
        <family val="1"/>
      </rPr>
      <t>H</t>
    </r>
    <r>
      <rPr>
        <sz val="11"/>
        <rFont val="Times New Roman"/>
        <family val="1"/>
      </rPr>
      <t>[W]</t>
    </r>
    <r>
      <rPr>
        <sz val="11"/>
        <rFont val="ＭＳ Ｐ明朝"/>
        <family val="1"/>
      </rPr>
      <t>の算出</t>
    </r>
  </si>
  <si>
    <t>○○○株式会社　○○　○○</t>
  </si>
  <si>
    <t xml:space="preserve"> (4) 熱交換器タイプ</t>
  </si>
  <si>
    <t>λのデフォルト値</t>
  </si>
  <si>
    <t>※本シートは、地中熱ヒートポンプシステムの諸元を確認できる図面資料等と揃えてまとめて提出することで、審査の簡略化を図ることを意図して作成しています。算定結果の正しさを保証するものではありませんので、使用者の責任において使用してください。</t>
  </si>
  <si>
    <t xml:space="preserve"> 0) 地域区分</t>
  </si>
  <si>
    <t xml:space="preserve"> 0) 地域区分</t>
  </si>
  <si>
    <t>1地域</t>
  </si>
  <si>
    <t>2地域</t>
  </si>
  <si>
    <t>3地域</t>
  </si>
  <si>
    <t>4地域</t>
  </si>
  <si>
    <t>5地域</t>
  </si>
  <si>
    <t>6地域</t>
  </si>
  <si>
    <t>7地域</t>
  </si>
  <si>
    <t>8地域</t>
  </si>
  <si>
    <t>1) 地中熱交換器の種類</t>
  </si>
  <si>
    <t>ダブルUチューブ</t>
  </si>
  <si>
    <t>シングルUチューブ</t>
  </si>
  <si>
    <t>水平埋設型</t>
  </si>
  <si>
    <t>地盤の熱伝導率の決定方法</t>
  </si>
  <si>
    <t>(2) 敷地内の地盤調査により得られた土質柱状図から算定する方法</t>
  </si>
  <si>
    <t>(3) デフォルト値を使う方法</t>
  </si>
  <si>
    <t>　入力(選択)にあたっての注意事項</t>
  </si>
  <si>
    <r>
      <rPr>
        <sz val="11"/>
        <rFont val="Times New Roman"/>
        <family val="1"/>
      </rPr>
      <t xml:space="preserve"> </t>
    </r>
    <r>
      <rPr>
        <sz val="11"/>
        <rFont val="ＭＳ Ｐ明朝"/>
        <family val="1"/>
      </rPr>
      <t>(3) 相当最大熱交換能力</t>
    </r>
    <r>
      <rPr>
        <i/>
        <sz val="11"/>
        <rFont val="Times New Roman"/>
        <family val="1"/>
      </rPr>
      <t>Q'</t>
    </r>
    <r>
      <rPr>
        <sz val="11"/>
        <rFont val="Times New Roman"/>
        <family val="1"/>
      </rPr>
      <t>[W/m]</t>
    </r>
    <r>
      <rPr>
        <sz val="11"/>
        <rFont val="ＭＳ Ｐ明朝"/>
        <family val="1"/>
      </rPr>
      <t>の算出</t>
    </r>
  </si>
  <si>
    <t>【本シートの使用にあたっては、以下の注意事項を確認し、承諾したものとみなします】</t>
  </si>
  <si>
    <t>※「二重枠」に囲まれたセルに地中熱ヒートポンプシステムの諸元を入力することで、自動計算により地中熱交換器の採熱・放熱能力を反映した「タイプ」を確認することができます。</t>
  </si>
  <si>
    <r>
      <t>※地中熱ヒートポンプの定格性能を入力する。入力値は水－空気ヒートポンプについては、「</t>
    </r>
    <r>
      <rPr>
        <sz val="11"/>
        <rFont val="Times New Roman"/>
        <family val="1"/>
      </rPr>
      <t xml:space="preserve">JIS B 8616:2015 </t>
    </r>
    <r>
      <rPr>
        <sz val="11"/>
        <rFont val="ＭＳ Ｐ明朝"/>
        <family val="1"/>
      </rPr>
      <t>パッケージエアコンディショナ」の定格条件における値を、水－水ヒートポンプについては、「</t>
    </r>
    <r>
      <rPr>
        <sz val="11"/>
        <rFont val="Times New Roman"/>
        <family val="1"/>
      </rPr>
      <t xml:space="preserve">JIS B 8613:1994 </t>
    </r>
    <r>
      <rPr>
        <sz val="11"/>
        <rFont val="ＭＳ Ｐ明朝"/>
        <family val="1"/>
      </rPr>
      <t>ウォーターチリングユニット」または「</t>
    </r>
    <r>
      <rPr>
        <sz val="11"/>
        <rFont val="Times New Roman"/>
        <family val="1"/>
      </rPr>
      <t xml:space="preserve">JRA 4066:2014 </t>
    </r>
    <r>
      <rPr>
        <sz val="11"/>
        <rFont val="ＭＳ Ｐ明朝"/>
        <family val="1"/>
      </rPr>
      <t>ウォーターチリングユニット」の定格条件における値を入力する。ただし、循環ポンプを内蔵した機種では、ポンプ動力を除外した値を入力する。</t>
    </r>
  </si>
  <si>
    <t>●地中熱交換器のタイプ確認</t>
  </si>
  <si>
    <t>(選択)</t>
  </si>
  <si>
    <t>決定方法：
(選択)</t>
  </si>
  <si>
    <t xml:space="preserve"> 2) 地盤の有効熱伝導率</t>
  </si>
  <si>
    <t>構成1</t>
  </si>
  <si>
    <t>構成2</t>
  </si>
  <si>
    <t>構成3</t>
  </si>
  <si>
    <t>水平埋設型</t>
  </si>
  <si>
    <t>地中熱交換器の構成：　</t>
  </si>
  <si>
    <t>※本シートは、「3種類」までの異なる熱交換部位で構成された地中熱交換器まで扱うことができます。「4種類」以上の場合は本シートを複数枚使用する等で対応してください。</t>
  </si>
  <si>
    <t>建物(等)の名前：</t>
  </si>
  <si>
    <t>（１）地中熱交換器タイプ確認シートの概要</t>
  </si>
  <si>
    <t>（３）入力前の準備</t>
  </si>
  <si>
    <t>（４）入力方法</t>
  </si>
  <si>
    <t>　本シートをダウンロードした際に、WindowsおよびExcelのVersionによっては開けない場合があります(「ファイルが破損しているため開くことができません」といった表示が出ることがあります)。その場合はコンピュータのセキュリティ設定によりブロックされている可能性が考えられます。Windowsでは、ファイルのプロパティを確認し(ファイルを選択して右クリック→「プロパティ」を選択)、「全般」タブの一番下の「セキュリティ」の項目で「ブロックの解除」ボタンを押すことでファイルを開ける場合があります（但し、自己責任で実施してください）。それでも開けない場合は、OSやセキュリティソフト等の設定を各自でご確認ください。</t>
  </si>
  <si>
    <t>　本シートの計算はセル内の数式ですべて処理されています。数式が入力されているセルを不用意に書き換えた場合、計算が適切にされない場合がありますのでご注意下さい。</t>
  </si>
  <si>
    <t>　本シートはA4用紙1枚に印刷できるように調整していますが、使用環境によっては1枚に収まらない可能性があります。お使いの環境に合わせて、設定を適宜調整してください。</t>
  </si>
  <si>
    <t>　本シートの「二重枠」で囲まれたセルに、基本情報ならびに地中熱ヒートポンプシステムの諸元を入力します。入力にあたっては、本シートの「入力(選択)にあたっての注意事項」欄、表下の注意事項について確認してください。また、計算方法および「計算式」欄の計算式を確認し、検算することを推奨します。</t>
  </si>
  <si>
    <t>② 作成日、入力者等を記入する。</t>
  </si>
  <si>
    <t>③ 建物(等)の名前を記入する。</t>
  </si>
  <si>
    <t>　具体的な入力方法は次の通りです。文中の丸数字は図1中に記載した丸数字と対応しています。</t>
  </si>
  <si>
    <t>⑤ 省エネルギー基準における地域区分を選択する。</t>
  </si>
  <si>
    <t>⑦ 熱交換器(部位)の種類を選択する。</t>
  </si>
  <si>
    <t>⑧ 熱交換部位i毎に地盤の有効熱伝導率を決定した方法を選択する。</t>
  </si>
  <si>
    <t>　</t>
  </si>
  <si>
    <t xml:space="preserve">                    計算値</t>
  </si>
  <si>
    <t xml:space="preserve">                      入力(選択)</t>
  </si>
  <si>
    <t>lの係数1d(計算用)</t>
  </si>
  <si>
    <t>lの係数2d(計算用)</t>
  </si>
  <si>
    <t>間接型水充填</t>
  </si>
  <si>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[m]=</t>
    </r>
    <r>
      <rPr>
        <sz val="11"/>
        <color indexed="9"/>
        <rFont val="Times New Roman"/>
        <family val="1"/>
      </rPr>
      <t>_</t>
    </r>
  </si>
  <si>
    <r>
      <t>冷房時：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q</t>
    </r>
    <r>
      <rPr>
        <i/>
        <vertAlign val="subscript"/>
        <sz val="11"/>
        <rFont val="Times New Roman"/>
        <family val="1"/>
      </rPr>
      <t>C</t>
    </r>
    <r>
      <rPr>
        <i/>
        <sz val="11"/>
        <rFont val="Times New Roman"/>
        <family val="1"/>
      </rPr>
      <t xml:space="preserve"> </t>
    </r>
    <r>
      <rPr>
        <sz val="11"/>
        <rFont val="Times New Roman"/>
        <family val="1"/>
      </rPr>
      <t>[kW]=</t>
    </r>
    <r>
      <rPr>
        <sz val="11"/>
        <color indexed="9"/>
        <rFont val="Times New Roman"/>
        <family val="1"/>
      </rPr>
      <t>_</t>
    </r>
  </si>
  <si>
    <r>
      <t>暖房時：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q</t>
    </r>
    <r>
      <rPr>
        <i/>
        <vertAlign val="subscript"/>
        <sz val="11"/>
        <rFont val="Times New Roman"/>
        <family val="1"/>
      </rPr>
      <t>H</t>
    </r>
    <r>
      <rPr>
        <i/>
        <sz val="11"/>
        <rFont val="Times New Roman"/>
        <family val="1"/>
      </rPr>
      <t xml:space="preserve"> </t>
    </r>
    <r>
      <rPr>
        <sz val="11"/>
        <rFont val="Times New Roman"/>
        <family val="1"/>
      </rPr>
      <t>[kW]=</t>
    </r>
    <r>
      <rPr>
        <sz val="11"/>
        <color indexed="9"/>
        <rFont val="Times New Roman"/>
        <family val="1"/>
      </rPr>
      <t>_</t>
    </r>
  </si>
  <si>
    <r>
      <t>冷房時：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e</t>
    </r>
    <r>
      <rPr>
        <i/>
        <vertAlign val="subscript"/>
        <sz val="11"/>
        <rFont val="Times New Roman"/>
        <family val="1"/>
      </rPr>
      <t>C</t>
    </r>
    <r>
      <rPr>
        <i/>
        <sz val="11"/>
        <rFont val="Times New Roman"/>
        <family val="1"/>
      </rPr>
      <t xml:space="preserve"> </t>
    </r>
    <r>
      <rPr>
        <sz val="11"/>
        <rFont val="Times New Roman"/>
        <family val="1"/>
      </rPr>
      <t>[kW]=</t>
    </r>
    <r>
      <rPr>
        <sz val="11"/>
        <color indexed="9"/>
        <rFont val="Times New Roman"/>
        <family val="1"/>
      </rPr>
      <t>_</t>
    </r>
  </si>
  <si>
    <r>
      <t>暖房時：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e</t>
    </r>
    <r>
      <rPr>
        <i/>
        <vertAlign val="subscript"/>
        <sz val="11"/>
        <rFont val="Times New Roman"/>
        <family val="1"/>
      </rPr>
      <t>H</t>
    </r>
    <r>
      <rPr>
        <i/>
        <sz val="11"/>
        <rFont val="Times New Roman"/>
        <family val="1"/>
      </rPr>
      <t xml:space="preserve"> </t>
    </r>
    <r>
      <rPr>
        <sz val="11"/>
        <rFont val="Times New Roman"/>
        <family val="1"/>
      </rPr>
      <t>[kW]=</t>
    </r>
    <r>
      <rPr>
        <sz val="11"/>
        <color indexed="9"/>
        <rFont val="Times New Roman"/>
        <family val="1"/>
      </rPr>
      <t>]</t>
    </r>
  </si>
  <si>
    <r>
      <rPr>
        <i/>
        <sz val="11"/>
        <rFont val="Times New Roman"/>
        <family val="1"/>
      </rPr>
      <t>λ</t>
    </r>
    <r>
      <rPr>
        <i/>
        <vertAlign val="subscript"/>
        <sz val="11"/>
        <rFont val="Times New Roman"/>
        <family val="1"/>
      </rPr>
      <t>i</t>
    </r>
    <r>
      <rPr>
        <sz val="11"/>
        <rFont val="Times New Roman"/>
        <family val="1"/>
      </rPr>
      <t xml:space="preserve"> [W/(mK)]=</t>
    </r>
    <r>
      <rPr>
        <sz val="11"/>
        <color indexed="9"/>
        <rFont val="Times New Roman"/>
        <family val="1"/>
      </rPr>
      <t>_</t>
    </r>
  </si>
  <si>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t>
    </r>
    <r>
      <rPr>
        <sz val="11"/>
        <color indexed="9"/>
        <rFont val="Times New Roman"/>
        <family val="1"/>
      </rPr>
      <t>_</t>
    </r>
  </si>
  <si>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[m]=</t>
    </r>
    <r>
      <rPr>
        <sz val="11"/>
        <color indexed="9"/>
        <rFont val="Times New Roman"/>
        <family val="1"/>
      </rPr>
      <t>_</t>
    </r>
  </si>
  <si>
    <r>
      <rPr>
        <i/>
        <sz val="11"/>
        <rFont val="Times New Roman"/>
        <family val="1"/>
      </rPr>
      <t xml:space="preserve">L' </t>
    </r>
    <r>
      <rPr>
        <sz val="11"/>
        <rFont val="Times New Roman"/>
        <family val="1"/>
      </rPr>
      <t>[m]=</t>
    </r>
    <r>
      <rPr>
        <sz val="11"/>
        <color indexed="9"/>
        <rFont val="Times New Roman"/>
        <family val="1"/>
      </rPr>
      <t>_</t>
    </r>
  </si>
  <si>
    <r>
      <rPr>
        <i/>
        <sz val="11"/>
        <rFont val="Times New Roman"/>
        <family val="1"/>
      </rPr>
      <t>H</t>
    </r>
    <r>
      <rPr>
        <i/>
        <vertAlign val="subscript"/>
        <sz val="11"/>
        <rFont val="Times New Roman"/>
        <family val="1"/>
      </rPr>
      <t>C</t>
    </r>
    <r>
      <rPr>
        <sz val="11"/>
        <rFont val="Times New Roman"/>
        <family val="1"/>
      </rPr>
      <t>' [kW]=</t>
    </r>
    <r>
      <rPr>
        <sz val="11"/>
        <color indexed="9"/>
        <rFont val="Times New Roman"/>
        <family val="1"/>
      </rPr>
      <t>_</t>
    </r>
  </si>
  <si>
    <r>
      <rPr>
        <i/>
        <sz val="11"/>
        <rFont val="Times New Roman"/>
        <family val="1"/>
      </rPr>
      <t>H</t>
    </r>
    <r>
      <rPr>
        <i/>
        <vertAlign val="subscript"/>
        <sz val="11"/>
        <rFont val="Times New Roman"/>
        <family val="1"/>
      </rPr>
      <t>H</t>
    </r>
    <r>
      <rPr>
        <sz val="11"/>
        <rFont val="Times New Roman"/>
        <family val="1"/>
      </rPr>
      <t>' [kW]=</t>
    </r>
    <r>
      <rPr>
        <sz val="11"/>
        <color indexed="9"/>
        <rFont val="Times New Roman"/>
        <family val="1"/>
      </rPr>
      <t>_</t>
    </r>
  </si>
  <si>
    <r>
      <rPr>
        <i/>
        <sz val="11"/>
        <rFont val="Times New Roman"/>
        <family val="1"/>
      </rPr>
      <t>H</t>
    </r>
    <r>
      <rPr>
        <sz val="11"/>
        <rFont val="Times New Roman"/>
        <family val="1"/>
      </rPr>
      <t xml:space="preserve"> [kW]=</t>
    </r>
    <r>
      <rPr>
        <sz val="11"/>
        <color indexed="9"/>
        <rFont val="Times New Roman"/>
        <family val="1"/>
      </rPr>
      <t>_</t>
    </r>
  </si>
  <si>
    <r>
      <rPr>
        <i/>
        <sz val="11"/>
        <rFont val="Times New Roman"/>
        <family val="1"/>
      </rPr>
      <t>Q</t>
    </r>
    <r>
      <rPr>
        <sz val="11"/>
        <rFont val="Times New Roman"/>
        <family val="1"/>
      </rPr>
      <t>' [W/m]=</t>
    </r>
    <r>
      <rPr>
        <sz val="11"/>
        <color indexed="9"/>
        <rFont val="Times New Roman"/>
        <family val="1"/>
      </rPr>
      <t>_</t>
    </r>
  </si>
  <si>
    <t>lの係数1(表示用前半)</t>
  </si>
  <si>
    <t>lの係数1(表示用後半)</t>
  </si>
  <si>
    <t>×</t>
  </si>
  <si>
    <t>1.3957</t>
  </si>
  <si>
    <t>1.3957×1.3</t>
  </si>
  <si>
    <t>1.0023×1.3×1.3</t>
  </si>
  <si>
    <t>(-0.881×</t>
  </si>
  <si>
    <t>lの係数2(表示用前半)</t>
  </si>
  <si>
    <t>lの係数2(表示用後半)</t>
  </si>
  <si>
    <t>-0.481</t>
  </si>
  <si>
    <t>-0.439</t>
  </si>
  <si>
    <t>0.055×</t>
  </si>
  <si>
    <r>
      <rPr>
        <sz val="11"/>
        <rFont val="Times New Roman"/>
        <family val="1"/>
      </rPr>
      <t xml:space="preserve"> </t>
    </r>
    <r>
      <rPr>
        <sz val="11"/>
        <rFont val="ＭＳ Ｐ明朝"/>
        <family val="1"/>
      </rPr>
      <t>(1) 相当熱交換器長</t>
    </r>
    <r>
      <rPr>
        <i/>
        <sz val="11"/>
        <rFont val="Times New Roman"/>
        <family val="1"/>
      </rPr>
      <t>L</t>
    </r>
    <r>
      <rPr>
        <sz val="11"/>
        <rFont val="Times New Roman"/>
        <family val="1"/>
      </rPr>
      <t>'[m]</t>
    </r>
    <r>
      <rPr>
        <sz val="11"/>
        <rFont val="ＭＳ Ｐ明朝"/>
        <family val="1"/>
      </rPr>
      <t xml:space="preserve">の算出
</t>
    </r>
  </si>
  <si>
    <r>
      <t>⑩ 熱交換部位i毎に熱交換器長</t>
    </r>
    <r>
      <rPr>
        <i/>
        <sz val="14"/>
        <rFont val="HG丸ｺﾞｼｯｸM-PRO"/>
        <family val="3"/>
      </rPr>
      <t>L</t>
    </r>
    <r>
      <rPr>
        <i/>
        <vertAlign val="subscript"/>
        <sz val="14"/>
        <rFont val="HG丸ｺﾞｼｯｸM-PRO"/>
        <family val="3"/>
      </rPr>
      <t>i</t>
    </r>
    <r>
      <rPr>
        <sz val="14"/>
        <rFont val="HG丸ｺﾞｼｯｸM-PRO"/>
        <family val="3"/>
      </rPr>
      <t>[m]を整数値で入力する。</t>
    </r>
  </si>
  <si>
    <r>
      <t xml:space="preserve"> 1</t>
    </r>
    <r>
      <rPr>
        <sz val="11"/>
        <rFont val="ＭＳ Ｐ明朝"/>
        <family val="1"/>
      </rPr>
      <t>) 地中熱交換器の種類</t>
    </r>
  </si>
  <si>
    <r>
      <t xml:space="preserve"> </t>
    </r>
    <r>
      <rPr>
        <sz val="11"/>
        <color indexed="10"/>
        <rFont val="ＭＳ Ｐ明朝"/>
        <family val="1"/>
      </rPr>
      <t>5</t>
    </r>
    <r>
      <rPr>
        <sz val="11"/>
        <rFont val="ＭＳ Ｐ明朝"/>
        <family val="1"/>
      </rPr>
      <t>-1) 地中熱ヒートポンプの定格能力</t>
    </r>
  </si>
  <si>
    <r>
      <t xml:space="preserve"> </t>
    </r>
    <r>
      <rPr>
        <sz val="11"/>
        <color indexed="10"/>
        <rFont val="ＭＳ Ｐ明朝"/>
        <family val="1"/>
      </rPr>
      <t>5</t>
    </r>
    <r>
      <rPr>
        <sz val="11"/>
        <rFont val="ＭＳ Ｐ明朝"/>
        <family val="1"/>
      </rPr>
      <t>-2) 地中熱ヒートポンプの定格消費電力</t>
    </r>
  </si>
  <si>
    <t>（２）使用にあたっての注意事項</t>
  </si>
  <si>
    <t>　本シートはMicrosoft社製表計算ソフトExcelが使用するExcel 97-2003ブック形式(拡張子：xls)のファイルとして作成しています。Windows版Excel 2013にて作成し、他のVersionでも動作を確認していますが、すべてのVersionで動作を保証するものではありません。</t>
  </si>
  <si>
    <t>　本シートではマクロ(Excel VBA)を使用していません。ファイルを開く際にはマクロを無効にして使用することを推奨します。</t>
  </si>
  <si>
    <t>(-0.5953×</t>
  </si>
  <si>
    <t>(-1.0518×</t>
  </si>
  <si>
    <t>+1.0246)×</t>
  </si>
  <si>
    <t>+1.6275)×</t>
  </si>
  <si>
    <t>+1.9231)×</t>
  </si>
  <si>
    <t>+1.2344)×</t>
  </si>
  <si>
    <t>(-0.2606×</t>
  </si>
  <si>
    <t>0.0475×</t>
  </si>
  <si>
    <t>-0.2383</t>
  </si>
  <si>
    <t>0.0613×</t>
  </si>
  <si>
    <t>-0.2943</t>
  </si>
  <si>
    <t>-0.6618</t>
  </si>
  <si>
    <t>0.2325×</t>
  </si>
  <si>
    <t>-0.6564</t>
  </si>
  <si>
    <t>大口径固体充填(d&lt;0.6m)</t>
  </si>
  <si>
    <t>大口径固体充填(d≧0.6m)</t>
  </si>
  <si>
    <t>直接循環型水充填</t>
  </si>
  <si>
    <t>　計算式等</t>
  </si>
  <si>
    <t xml:space="preserve"> 3) 地中熱交換器長</t>
  </si>
  <si>
    <r>
      <t>2017/</t>
    </r>
    <r>
      <rPr>
        <sz val="16"/>
        <rFont val="ＭＳ Ｐ明朝"/>
        <family val="1"/>
      </rPr>
      <t>○</t>
    </r>
    <r>
      <rPr>
        <sz val="16"/>
        <rFont val="Times New Roman"/>
        <family val="1"/>
      </rPr>
      <t>/</t>
    </r>
    <r>
      <rPr>
        <sz val="16"/>
        <rFont val="ＭＳ Ｐ明朝"/>
        <family val="1"/>
      </rPr>
      <t>○○</t>
    </r>
  </si>
  <si>
    <r>
      <t>⑨ 熱交換部位i毎に地盤の有効熱伝導率</t>
    </r>
    <r>
      <rPr>
        <i/>
        <sz val="14"/>
        <rFont val="HG丸ｺﾞｼｯｸM-PRO"/>
        <family val="3"/>
      </rPr>
      <t>λ</t>
    </r>
    <r>
      <rPr>
        <i/>
        <vertAlign val="subscript"/>
        <sz val="14"/>
        <rFont val="HG丸ｺﾞｼｯｸM-PRO"/>
        <family val="3"/>
      </rPr>
      <t>i</t>
    </r>
    <r>
      <rPr>
        <sz val="14"/>
        <rFont val="HG丸ｺﾞｼｯｸM-PRO"/>
        <family val="3"/>
      </rPr>
      <t>[W/(mK)]を小数点以下1桁で入力する。⑨の決定方法と齟齬がある場合にセルが赤塗りになり注意喚起がなされる。その際には右の注意事項欄を確認の上、対応されたい。</t>
    </r>
  </si>
  <si>
    <r>
      <t>⑫ 地中熱ヒートポンプの冷房、暖房の定格能力</t>
    </r>
    <r>
      <rPr>
        <i/>
        <sz val="14"/>
        <rFont val="HG丸ｺﾞｼｯｸM-PRO"/>
        <family val="3"/>
      </rPr>
      <t>q</t>
    </r>
    <r>
      <rPr>
        <i/>
        <vertAlign val="subscript"/>
        <sz val="14"/>
        <rFont val="HG丸ｺﾞｼｯｸM-PRO"/>
        <family val="3"/>
      </rPr>
      <t>C</t>
    </r>
    <r>
      <rPr>
        <sz val="14"/>
        <rFont val="HG丸ｺﾞｼｯｸM-PRO"/>
        <family val="3"/>
      </rPr>
      <t>、</t>
    </r>
    <r>
      <rPr>
        <i/>
        <sz val="14"/>
        <rFont val="HG丸ｺﾞｼｯｸM-PRO"/>
        <family val="3"/>
      </rPr>
      <t>q</t>
    </r>
    <r>
      <rPr>
        <i/>
        <vertAlign val="subscript"/>
        <sz val="14"/>
        <rFont val="HG丸ｺﾞｼｯｸM-PRO"/>
        <family val="3"/>
      </rPr>
      <t>H</t>
    </r>
    <r>
      <rPr>
        <sz val="14"/>
        <rFont val="HG丸ｺﾞｼｯｸM-PRO"/>
        <family val="3"/>
      </rPr>
      <t>[kW]を入力する。</t>
    </r>
  </si>
  <si>
    <r>
      <t>⑭ 長さの比</t>
    </r>
    <r>
      <rPr>
        <i/>
        <sz val="14"/>
        <rFont val="HG丸ｺﾞｼｯｸM-PRO"/>
        <family val="3"/>
      </rPr>
      <t>l</t>
    </r>
    <r>
      <rPr>
        <i/>
        <vertAlign val="subscript"/>
        <sz val="14"/>
        <rFont val="HG丸ｺﾞｼｯｸM-PRO"/>
        <family val="3"/>
      </rPr>
      <t>i</t>
    </r>
    <r>
      <rPr>
        <sz val="14"/>
        <rFont val="HG丸ｺﾞｼｯｸM-PRO"/>
        <family val="3"/>
      </rPr>
      <t>を、熱交換器の種類、地盤の有効熱伝導率</t>
    </r>
    <r>
      <rPr>
        <i/>
        <sz val="14"/>
        <rFont val="HG丸ｺﾞｼｯｸM-PRO"/>
        <family val="3"/>
      </rPr>
      <t>λ</t>
    </r>
    <r>
      <rPr>
        <i/>
        <vertAlign val="subscript"/>
        <sz val="14"/>
        <rFont val="HG丸ｺﾞｼｯｸM-PRO"/>
        <family val="3"/>
      </rPr>
      <t>i</t>
    </r>
    <r>
      <rPr>
        <sz val="14"/>
        <rFont val="HG丸ｺﾞｼｯｸM-PRO"/>
        <family val="3"/>
      </rPr>
      <t>から算出する。算出した</t>
    </r>
    <r>
      <rPr>
        <i/>
        <sz val="14"/>
        <rFont val="HG丸ｺﾞｼｯｸM-PRO"/>
        <family val="3"/>
      </rPr>
      <t>l</t>
    </r>
    <r>
      <rPr>
        <i/>
        <vertAlign val="subscript"/>
        <sz val="14"/>
        <rFont val="HG丸ｺﾞｼｯｸM-PRO"/>
        <family val="3"/>
      </rPr>
      <t>i</t>
    </r>
    <r>
      <rPr>
        <sz val="14"/>
        <rFont val="HG丸ｺﾞｼｯｸM-PRO"/>
        <family val="3"/>
      </rPr>
      <t>は小数点以下2桁とする。</t>
    </r>
  </si>
  <si>
    <r>
      <t>⑮ 熱交換器長</t>
    </r>
    <r>
      <rPr>
        <i/>
        <sz val="14"/>
        <rFont val="HG丸ｺﾞｼｯｸM-PRO"/>
        <family val="3"/>
      </rPr>
      <t>L</t>
    </r>
    <r>
      <rPr>
        <i/>
        <vertAlign val="subscript"/>
        <sz val="14"/>
        <rFont val="HG丸ｺﾞｼｯｸM-PRO"/>
        <family val="3"/>
      </rPr>
      <t>i</t>
    </r>
    <r>
      <rPr>
        <sz val="14"/>
        <rFont val="HG丸ｺﾞｼｯｸM-PRO"/>
        <family val="3"/>
      </rPr>
      <t>を長さの比</t>
    </r>
    <r>
      <rPr>
        <i/>
        <sz val="14"/>
        <rFont val="HG丸ｺﾞｼｯｸM-PRO"/>
        <family val="3"/>
      </rPr>
      <t>l</t>
    </r>
    <r>
      <rPr>
        <i/>
        <vertAlign val="subscript"/>
        <sz val="14"/>
        <rFont val="HG丸ｺﾞｼｯｸM-PRO"/>
        <family val="3"/>
      </rPr>
      <t>i</t>
    </r>
    <r>
      <rPr>
        <sz val="14"/>
        <rFont val="HG丸ｺﾞｼｯｸM-PRO"/>
        <family val="3"/>
      </rPr>
      <t>で除して相当熱交換器長</t>
    </r>
    <r>
      <rPr>
        <i/>
        <sz val="14"/>
        <rFont val="HG丸ｺﾞｼｯｸM-PRO"/>
        <family val="3"/>
      </rPr>
      <t>L</t>
    </r>
    <r>
      <rPr>
        <i/>
        <vertAlign val="subscript"/>
        <sz val="14"/>
        <rFont val="HG丸ｺﾞｼｯｸM-PRO"/>
        <family val="3"/>
      </rPr>
      <t>i</t>
    </r>
    <r>
      <rPr>
        <sz val="14"/>
        <rFont val="HG丸ｺﾞｼｯｸM-PRO"/>
        <family val="3"/>
      </rPr>
      <t>'[m]を算出する。算出した</t>
    </r>
    <r>
      <rPr>
        <i/>
        <sz val="14"/>
        <rFont val="HG丸ｺﾞｼｯｸM-PRO"/>
        <family val="3"/>
      </rPr>
      <t>L</t>
    </r>
    <r>
      <rPr>
        <i/>
        <vertAlign val="subscript"/>
        <sz val="14"/>
        <rFont val="HG丸ｺﾞｼｯｸM-PRO"/>
        <family val="3"/>
      </rPr>
      <t>i</t>
    </r>
    <r>
      <rPr>
        <sz val="14"/>
        <rFont val="HG丸ｺﾞｼｯｸM-PRO"/>
        <family val="3"/>
      </rPr>
      <t>'は整数値とする。</t>
    </r>
  </si>
  <si>
    <r>
      <t>⑯ 熱交換部位</t>
    </r>
    <r>
      <rPr>
        <i/>
        <sz val="14"/>
        <rFont val="HG丸ｺﾞｼｯｸM-PRO"/>
        <family val="3"/>
      </rPr>
      <t>i</t>
    </r>
    <r>
      <rPr>
        <sz val="14"/>
        <rFont val="HG丸ｺﾞｼｯｸM-PRO"/>
        <family val="3"/>
      </rPr>
      <t>毎の相当熱交換器長</t>
    </r>
    <r>
      <rPr>
        <i/>
        <sz val="14"/>
        <rFont val="HG丸ｺﾞｼｯｸM-PRO"/>
        <family val="3"/>
      </rPr>
      <t>L</t>
    </r>
    <r>
      <rPr>
        <i/>
        <vertAlign val="subscript"/>
        <sz val="14"/>
        <rFont val="HG丸ｺﾞｼｯｸM-PRO"/>
        <family val="3"/>
      </rPr>
      <t>i</t>
    </r>
    <r>
      <rPr>
        <sz val="14"/>
        <rFont val="HG丸ｺﾞｼｯｸM-PRO"/>
        <family val="3"/>
      </rPr>
      <t>'を足しあわせ、全体の相当熱交換器長</t>
    </r>
    <r>
      <rPr>
        <i/>
        <sz val="14"/>
        <rFont val="HG丸ｺﾞｼｯｸM-PRO"/>
        <family val="3"/>
      </rPr>
      <t>L</t>
    </r>
    <r>
      <rPr>
        <sz val="14"/>
        <rFont val="HG丸ｺﾞｼｯｸM-PRO"/>
        <family val="3"/>
      </rPr>
      <t>[m]を算出する。</t>
    </r>
  </si>
  <si>
    <r>
      <t>⑰ 暖房時の最大熱交換量</t>
    </r>
    <r>
      <rPr>
        <i/>
        <sz val="14"/>
        <rFont val="HG丸ｺﾞｼｯｸM-PRO"/>
        <family val="3"/>
      </rPr>
      <t>H</t>
    </r>
    <r>
      <rPr>
        <i/>
        <vertAlign val="subscript"/>
        <sz val="14"/>
        <rFont val="HG丸ｺﾞｼｯｸM-PRO"/>
        <family val="3"/>
      </rPr>
      <t>H</t>
    </r>
    <r>
      <rPr>
        <sz val="14"/>
        <rFont val="HG丸ｺﾞｼｯｸM-PRO"/>
        <family val="3"/>
      </rPr>
      <t>'[kW]、冷房時の最大熱交換量</t>
    </r>
    <r>
      <rPr>
        <i/>
        <sz val="14"/>
        <rFont val="HG丸ｺﾞｼｯｸM-PRO"/>
        <family val="3"/>
      </rPr>
      <t>H</t>
    </r>
    <r>
      <rPr>
        <i/>
        <vertAlign val="subscript"/>
        <sz val="14"/>
        <rFont val="HG丸ｺﾞｼｯｸM-PRO"/>
        <family val="3"/>
      </rPr>
      <t>C</t>
    </r>
    <r>
      <rPr>
        <sz val="14"/>
        <rFont val="HG丸ｺﾞｼｯｸM-PRO"/>
        <family val="3"/>
      </rPr>
      <t>'[kW]を算出し、地域区分に応じて設計最大熱交換量</t>
    </r>
    <r>
      <rPr>
        <i/>
        <sz val="14"/>
        <rFont val="HG丸ｺﾞｼｯｸM-PRO"/>
        <family val="3"/>
      </rPr>
      <t xml:space="preserve">H </t>
    </r>
    <r>
      <rPr>
        <sz val="14"/>
        <rFont val="HG丸ｺﾞｼｯｸM-PRO"/>
        <family val="3"/>
      </rPr>
      <t>[kW]を算出する。</t>
    </r>
  </si>
  <si>
    <r>
      <t>⑲ 相当最大熱交換能力</t>
    </r>
    <r>
      <rPr>
        <i/>
        <sz val="14"/>
        <rFont val="HG丸ｺﾞｼｯｸM-PRO"/>
        <family val="3"/>
      </rPr>
      <t>Q</t>
    </r>
    <r>
      <rPr>
        <sz val="14"/>
        <rFont val="HG丸ｺﾞｼｯｸM-PRO"/>
        <family val="3"/>
      </rPr>
      <t>'から、地中熱交換器のタイプを決定する。</t>
    </r>
  </si>
  <si>
    <r>
      <t>※建設地の地域区分を入力(</t>
    </r>
    <r>
      <rPr>
        <i/>
        <sz val="11"/>
        <rFont val="Times New Roman"/>
        <family val="1"/>
      </rPr>
      <t>H</t>
    </r>
    <r>
      <rPr>
        <sz val="11"/>
        <rFont val="ＭＳ Ｐ明朝"/>
        <family val="1"/>
      </rPr>
      <t>算定に必要)</t>
    </r>
  </si>
  <si>
    <t>※複数の異なる熱交換部位で構成されている地中熱交換器については、構成単位毎に「種類」「寸法」「有効熱伝導率」「長さ」を入力する。</t>
  </si>
  <si>
    <t>※入力する数値の桁数は、右側の注意事項を確認して入力してください。指定の桁数を超えて入力しても、表示および計算式には反映されません。</t>
  </si>
  <si>
    <t>※本シートの使用にあたり操作が不要なセルについては、誤操作を防止するために「ロック」をかけています。ロックは「gshp2017」で解除できます。解除後にセル内の数式を変更しますと正しい計算ができなくなることがありますので、ご注意ください。</t>
  </si>
  <si>
    <r>
      <rPr>
        <i/>
        <sz val="11"/>
        <rFont val="Times New Roman"/>
        <family val="1"/>
      </rPr>
      <t>d</t>
    </r>
    <r>
      <rPr>
        <sz val="11"/>
        <rFont val="Times New Roman"/>
        <family val="1"/>
      </rPr>
      <t xml:space="preserve"> [m]=</t>
    </r>
    <r>
      <rPr>
        <sz val="11"/>
        <color indexed="9"/>
        <rFont val="Times New Roman"/>
        <family val="1"/>
      </rPr>
      <t>_</t>
    </r>
  </si>
  <si>
    <r>
      <rPr>
        <sz val="11"/>
        <rFont val="ＭＳ Ｐ明朝"/>
        <family val="1"/>
      </rPr>
      <t xml:space="preserve"> 4) 地中熱交換器の直径に係る代表寸法</t>
    </r>
    <r>
      <rPr>
        <i/>
        <sz val="11"/>
        <rFont val="Times New Roman"/>
        <family val="1"/>
      </rPr>
      <t>d</t>
    </r>
  </si>
  <si>
    <t>住宅</t>
  </si>
  <si>
    <t>非住宅建築物</t>
  </si>
  <si>
    <t>○○邸</t>
  </si>
  <si>
    <t>主たる居室</t>
  </si>
  <si>
    <t xml:space="preserve"> 1) 地中熱交換器の種類</t>
  </si>
  <si>
    <r>
      <t xml:space="preserve"> 4) 地中熱交換器の直径に係る代表寸法</t>
    </r>
    <r>
      <rPr>
        <i/>
        <sz val="11"/>
        <rFont val="Times New Roman"/>
        <family val="1"/>
      </rPr>
      <t>d</t>
    </r>
  </si>
  <si>
    <r>
      <t>　計算式等</t>
    </r>
    <r>
      <rPr>
        <sz val="10"/>
        <rFont val="ＭＳ Ｐ明朝"/>
        <family val="1"/>
      </rPr>
      <t xml:space="preserve"> (注：記号の下付等が反映されない場合がある)</t>
    </r>
  </si>
  <si>
    <r>
      <t xml:space="preserve"> 3) 地中熱交換器長</t>
    </r>
    <r>
      <rPr>
        <i/>
        <sz val="11"/>
        <rFont val="Times New Roman"/>
        <family val="1"/>
      </rPr>
      <t>L</t>
    </r>
  </si>
  <si>
    <r>
      <t xml:space="preserve"> 2) 地盤の有効熱伝導率</t>
    </r>
    <r>
      <rPr>
        <i/>
        <sz val="11"/>
        <rFont val="Times New Roman"/>
        <family val="1"/>
      </rPr>
      <t>λ</t>
    </r>
  </si>
  <si>
    <r>
      <t xml:space="preserve"> 5-1) 地中熱ヒートポンプの定格能力</t>
    </r>
    <r>
      <rPr>
        <i/>
        <sz val="11"/>
        <rFont val="Times New Roman"/>
        <family val="1"/>
      </rPr>
      <t>q</t>
    </r>
  </si>
  <si>
    <r>
      <t xml:space="preserve"> 5-2) 地中熱ヒートポンプの定格消費電力</t>
    </r>
    <r>
      <rPr>
        <i/>
        <sz val="11"/>
        <rFont val="Times New Roman"/>
        <family val="1"/>
      </rPr>
      <t>e</t>
    </r>
  </si>
  <si>
    <r>
      <t>冷房時：</t>
    </r>
    <r>
      <rPr>
        <sz val="11"/>
        <rFont val="Times New Roman"/>
        <family val="1"/>
      </rPr>
      <t xml:space="preserve">  </t>
    </r>
    <r>
      <rPr>
        <sz val="11"/>
        <rFont val="ＭＳ Ｐ明朝"/>
        <family val="1"/>
      </rPr>
      <t xml:space="preserve">
</t>
    </r>
    <r>
      <rPr>
        <i/>
        <sz val="11"/>
        <rFont val="Times New Roman"/>
        <family val="1"/>
      </rPr>
      <t>e</t>
    </r>
    <r>
      <rPr>
        <i/>
        <vertAlign val="subscript"/>
        <sz val="11"/>
        <rFont val="Times New Roman"/>
        <family val="1"/>
      </rPr>
      <t>C</t>
    </r>
    <r>
      <rPr>
        <i/>
        <sz val="11"/>
        <rFont val="Times New Roman"/>
        <family val="1"/>
      </rPr>
      <t xml:space="preserve"> </t>
    </r>
    <r>
      <rPr>
        <sz val="11"/>
        <rFont val="Times New Roman"/>
        <family val="1"/>
      </rPr>
      <t>[kW]=</t>
    </r>
  </si>
  <si>
    <r>
      <t>暖房時：</t>
    </r>
    <r>
      <rPr>
        <sz val="11"/>
        <color indexed="9"/>
        <rFont val="Times New Roman"/>
        <family val="1"/>
      </rPr>
      <t xml:space="preserve">  </t>
    </r>
    <r>
      <rPr>
        <sz val="11"/>
        <rFont val="ＭＳ Ｐ明朝"/>
        <family val="1"/>
      </rPr>
      <t xml:space="preserve">
</t>
    </r>
    <r>
      <rPr>
        <i/>
        <sz val="11"/>
        <rFont val="Times New Roman"/>
        <family val="1"/>
      </rPr>
      <t>e</t>
    </r>
    <r>
      <rPr>
        <i/>
        <vertAlign val="subscript"/>
        <sz val="11"/>
        <rFont val="Times New Roman"/>
        <family val="1"/>
      </rPr>
      <t>H</t>
    </r>
    <r>
      <rPr>
        <i/>
        <sz val="11"/>
        <rFont val="Times New Roman"/>
        <family val="1"/>
      </rPr>
      <t xml:space="preserve"> </t>
    </r>
    <r>
      <rPr>
        <sz val="11"/>
        <rFont val="Times New Roman"/>
        <family val="1"/>
      </rPr>
      <t>[kW]=</t>
    </r>
  </si>
  <si>
    <r>
      <rPr>
        <sz val="11"/>
        <rFont val="Times New Roman"/>
        <family val="1"/>
      </rPr>
      <t xml:space="preserve"> </t>
    </r>
    <r>
      <rPr>
        <sz val="11"/>
        <rFont val="ＭＳ Ｐ明朝"/>
        <family val="1"/>
      </rPr>
      <t xml:space="preserve">(1) 相当熱交換器長 </t>
    </r>
    <r>
      <rPr>
        <i/>
        <sz val="11"/>
        <rFont val="Times New Roman"/>
        <family val="1"/>
      </rPr>
      <t>L</t>
    </r>
    <r>
      <rPr>
        <sz val="11"/>
        <rFont val="Times New Roman"/>
        <family val="1"/>
      </rPr>
      <t xml:space="preserve">'[m] </t>
    </r>
    <r>
      <rPr>
        <sz val="11"/>
        <rFont val="ＭＳ Ｐ明朝"/>
        <family val="1"/>
      </rPr>
      <t xml:space="preserve">の算出
</t>
    </r>
  </si>
  <si>
    <r>
      <rPr>
        <sz val="11"/>
        <rFont val="Times New Roman"/>
        <family val="1"/>
      </rPr>
      <t xml:space="preserve"> </t>
    </r>
    <r>
      <rPr>
        <sz val="11"/>
        <rFont val="ＭＳ Ｐ明朝"/>
        <family val="1"/>
      </rPr>
      <t xml:space="preserve">(2) 設計最大熱交換量 </t>
    </r>
    <r>
      <rPr>
        <i/>
        <sz val="11"/>
        <rFont val="Times New Roman"/>
        <family val="1"/>
      </rPr>
      <t>H</t>
    </r>
    <r>
      <rPr>
        <sz val="11"/>
        <rFont val="Times New Roman"/>
        <family val="1"/>
      </rPr>
      <t xml:space="preserve">[kW] </t>
    </r>
    <r>
      <rPr>
        <sz val="11"/>
        <rFont val="ＭＳ Ｐ明朝"/>
        <family val="1"/>
      </rPr>
      <t>の算出</t>
    </r>
  </si>
  <si>
    <r>
      <rPr>
        <sz val="11"/>
        <rFont val="Times New Roman"/>
        <family val="1"/>
      </rPr>
      <t xml:space="preserve"> </t>
    </r>
    <r>
      <rPr>
        <sz val="11"/>
        <rFont val="ＭＳ Ｐ明朝"/>
        <family val="1"/>
      </rPr>
      <t xml:space="preserve">(3) 相当最大熱交換能力 </t>
    </r>
    <r>
      <rPr>
        <i/>
        <sz val="11"/>
        <rFont val="Times New Roman"/>
        <family val="1"/>
      </rPr>
      <t>Q'</t>
    </r>
    <r>
      <rPr>
        <sz val="11"/>
        <rFont val="Times New Roman"/>
        <family val="1"/>
      </rPr>
      <t xml:space="preserve">[W/m] </t>
    </r>
    <r>
      <rPr>
        <sz val="11"/>
        <rFont val="ＭＳ Ｐ明朝"/>
        <family val="1"/>
      </rPr>
      <t>の算出</t>
    </r>
  </si>
  <si>
    <t>　Ver.3.0へのアップデートにあたり、以下の変更がされています。
・非住宅建築物のみに対応していたVer.2.0をもとに住宅に対応するように修正しました
 　（非住宅建築物については計算方法に変更はありません。引き続きVer.2.0を使用できます）。
　Ver.3.1へのアップデートにあたり、以下の変更がされています。
・住宅用では、地中熱ヒートポンプの定格消費電力の入力が不要となりました
 　（非住宅建築物については計算方法に変更はありません。引き続きVer.2.0～3.0も使用できます）。</t>
  </si>
  <si>
    <t>⑥ 本シートでは、一台(一群)の地中熱ヒートポンプに属する地中熱交換器が複数の部位で構成される場合には、それぞれの熱交換部位について入力することができる(ただし3構成まで)。4構成以上については、本シートを複数使用することで適宜対応されたい。</t>
  </si>
  <si>
    <r>
      <t>⑱ 設計最大熱交換量</t>
    </r>
    <r>
      <rPr>
        <i/>
        <sz val="14"/>
        <rFont val="HG丸ｺﾞｼｯｸM-PRO"/>
        <family val="3"/>
      </rPr>
      <t>H</t>
    </r>
    <r>
      <rPr>
        <sz val="14"/>
        <rFont val="HG丸ｺﾞｼｯｸM-PRO"/>
        <family val="3"/>
      </rPr>
      <t>を相当熱交換器長</t>
    </r>
    <r>
      <rPr>
        <i/>
        <sz val="14"/>
        <rFont val="HG丸ｺﾞｼｯｸM-PRO"/>
        <family val="3"/>
      </rPr>
      <t>L</t>
    </r>
    <r>
      <rPr>
        <sz val="14"/>
        <rFont val="HG丸ｺﾞｼｯｸM-PRO"/>
        <family val="3"/>
      </rPr>
      <t>で除し、相当最大熱交換能力</t>
    </r>
    <r>
      <rPr>
        <i/>
        <sz val="14"/>
        <rFont val="HG丸ｺﾞｼｯｸM-PRO"/>
        <family val="3"/>
      </rPr>
      <t>Q</t>
    </r>
    <r>
      <rPr>
        <sz val="14"/>
        <rFont val="HG丸ｺﾞｼｯｸM-PRO"/>
        <family val="3"/>
      </rPr>
      <t>'[W/m]を算出する。</t>
    </r>
  </si>
  <si>
    <r>
      <t>⑪ 地中熱交換器の種類に応じて必要な場合に、地中熱交換器の直径に係る代表寸法</t>
    </r>
    <r>
      <rPr>
        <i/>
        <sz val="14"/>
        <rFont val="HG丸ｺﾞｼｯｸM-PRO"/>
        <family val="3"/>
      </rPr>
      <t>d</t>
    </r>
    <r>
      <rPr>
        <sz val="14"/>
        <rFont val="HG丸ｺﾞｼｯｸM-PRO"/>
        <family val="3"/>
      </rPr>
      <t>[m]を小数点以下3桁までの数値で入力する。</t>
    </r>
  </si>
  <si>
    <r>
      <t>2020/</t>
    </r>
    <r>
      <rPr>
        <sz val="16"/>
        <rFont val="ＭＳ Ｐ明朝"/>
        <family val="1"/>
      </rPr>
      <t>○/○</t>
    </r>
  </si>
  <si>
    <t>○○株式会社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</si>
</sst>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_ "/>
  </numFmts>
  <fonts count="72">
    <font>
      <sz val="11"/>
      <name val="ＭＳ Ｐゴシック"/>
      <family val="3"/>
    </font>
    <font>
      <sz val="6"/>
      <name val="ＭＳ Ｐゴシック"/>
      <family val="3"/>
    </font>
    <font>
      <sz val="12"/>
      <name val="ＭＳ Ｐ明朝"/>
      <family val="1"/>
    </font>
    <font>
      <sz val="10"/>
      <name val="ＭＳ Ｐ明朝"/>
      <family val="1"/>
    </font>
    <font>
      <sz val="11"/>
      <name val="ＭＳ Ｐ明朝"/>
      <family val="1"/>
    </font>
    <font>
      <sz val="14"/>
      <name val="ＭＳ Ｐ明朝"/>
      <family val="1"/>
    </font>
    <font>
      <sz val="11"/>
      <name val="Times New Roman"/>
      <family val="1"/>
    </font>
    <font>
      <i/>
      <sz val="11"/>
      <name val="Times New Roman"/>
      <family val="1"/>
    </font>
    <font>
      <i/>
      <vertAlign val="subscript"/>
      <sz val="11"/>
      <name val="Times New Roman"/>
      <family val="1"/>
    </font>
    <font>
      <sz val="16"/>
      <name val="Times New Roman"/>
      <family val="1"/>
    </font>
    <font>
      <sz val="10"/>
      <color indexed="9"/>
      <name val="ＭＳ Ｐ明朝"/>
      <family val="1"/>
    </font>
    <font>
      <sz val="10"/>
      <color indexed="10"/>
      <name val="ＭＳ Ｐ明朝"/>
      <family val="1"/>
    </font>
    <font>
      <sz val="11"/>
      <color indexed="10"/>
      <name val="ＭＳ Ｐ明朝"/>
      <family val="1"/>
    </font>
    <font>
      <sz val="14"/>
      <name val="Times New Roman"/>
      <family val="1"/>
    </font>
    <font>
      <sz val="11"/>
      <color indexed="9"/>
      <name val="Times New Roman"/>
      <family val="1"/>
    </font>
    <font>
      <sz val="16"/>
      <name val="ＭＳ Ｐ明朝"/>
      <family val="1"/>
    </font>
    <font>
      <u val="single"/>
      <sz val="14"/>
      <name val="ＭＳ Ｐ明朝"/>
      <family val="1"/>
    </font>
    <font>
      <sz val="11"/>
      <color indexed="20"/>
      <name val="ＭＳ Ｐゴシック"/>
      <family val="3"/>
    </font>
    <font>
      <sz val="14"/>
      <name val="HG丸ｺﾞｼｯｸM-PRO"/>
      <family val="3"/>
    </font>
    <font>
      <sz val="18"/>
      <name val="HG丸ｺﾞｼｯｸM-PRO"/>
      <family val="3"/>
    </font>
    <font>
      <sz val="11"/>
      <color indexed="10"/>
      <name val="Times New Roman"/>
      <family val="1"/>
    </font>
    <font>
      <i/>
      <sz val="14"/>
      <name val="HG丸ｺﾞｼｯｸM-PRO"/>
      <family val="3"/>
    </font>
    <font>
      <i/>
      <vertAlign val="subscript"/>
      <sz val="14"/>
      <name val="HG丸ｺﾞｼｯｸM-PRO"/>
      <family val="3"/>
    </font>
    <font>
      <sz val="20"/>
      <name val="Times New Roman"/>
      <family val="1"/>
    </font>
    <font>
      <b/>
      <sz val="24"/>
      <name val="ＭＳ Ｐゴシック"/>
      <family val="3"/>
    </font>
    <font>
      <sz val="14"/>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Times New Roman"/>
      <family val="1"/>
    </font>
    <font>
      <sz val="11"/>
      <color indexed="9"/>
      <name val="ＭＳ Ｐ明朝"/>
      <family val="1"/>
    </font>
    <font>
      <sz val="18"/>
      <color indexed="10"/>
      <name val="ＭＳ Ｐゴシック"/>
      <family val="3"/>
    </font>
    <font>
      <sz val="14"/>
      <color indexed="8"/>
      <name val="HG丸ｺﾞｼｯｸM-PRO"/>
      <family val="3"/>
    </font>
    <font>
      <sz val="11"/>
      <color indexed="8"/>
      <name val="ＭＳ Ｐ明朝"/>
      <family val="1"/>
    </font>
    <font>
      <sz val="11"/>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20"/>
      <color rgb="FFFF0000"/>
      <name val="Times New Roman"/>
      <family val="1"/>
    </font>
    <font>
      <sz val="11"/>
      <color theme="0"/>
      <name val="ＭＳ Ｐ明朝"/>
      <family val="1"/>
    </font>
    <font>
      <sz val="10"/>
      <color theme="0"/>
      <name val="ＭＳ Ｐ明朝"/>
      <family val="1"/>
    </font>
    <font>
      <sz val="11"/>
      <color rgb="FFFF0000"/>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double"/>
      <top style="double"/>
      <bottom style="double"/>
    </border>
    <border>
      <left style="double"/>
      <right style="thin">
        <color indexed="9"/>
      </right>
      <top style="double"/>
      <bottom style="double"/>
    </border>
    <border>
      <left style="thin"/>
      <right style="thin">
        <color indexed="9"/>
      </right>
      <top style="thin"/>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color indexed="9"/>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color indexed="9"/>
      </bottom>
    </border>
    <border>
      <left style="thin"/>
      <right>
        <color indexed="63"/>
      </right>
      <top style="thin">
        <color indexed="9"/>
      </top>
      <bottom style="thin"/>
    </border>
    <border>
      <left>
        <color indexed="63"/>
      </left>
      <right>
        <color indexed="63"/>
      </right>
      <top style="thin"/>
      <bottom style="thin"/>
    </border>
    <border>
      <left>
        <color indexed="63"/>
      </left>
      <right style="thin">
        <color indexed="9"/>
      </right>
      <top>
        <color indexed="63"/>
      </top>
      <bottom style="thin">
        <color indexed="9"/>
      </bottom>
    </border>
    <border>
      <left style="thin"/>
      <right>
        <color indexed="63"/>
      </right>
      <top>
        <color indexed="63"/>
      </top>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right>
        <color indexed="63"/>
      </right>
      <top style="thin"/>
      <bottom style="thin"/>
    </border>
    <border>
      <left>
        <color indexed="63"/>
      </left>
      <right style="thin">
        <color indexed="9"/>
      </right>
      <top style="thin"/>
      <bottom>
        <color indexed="63"/>
      </bottom>
    </border>
    <border>
      <left>
        <color indexed="63"/>
      </left>
      <right style="thin">
        <color indexed="9"/>
      </right>
      <top style="double"/>
      <bottom style="double"/>
    </border>
    <border>
      <left style="thin"/>
      <right>
        <color indexed="63"/>
      </right>
      <top style="thin"/>
      <bottom>
        <color indexed="63"/>
      </bottom>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color indexed="63"/>
      </bottom>
    </border>
    <border>
      <left style="thin">
        <color indexed="9"/>
      </left>
      <right style="thin"/>
      <top style="thin"/>
      <bottom style="thin"/>
    </border>
    <border>
      <left style="thin"/>
      <right style="double"/>
      <top style="double"/>
      <bottom style="thin"/>
    </border>
    <border>
      <left style="double"/>
      <right style="double"/>
      <top style="thin"/>
      <bottom style="double"/>
    </border>
    <border>
      <left style="double"/>
      <right style="double"/>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double"/>
      <right style="thin"/>
      <top style="double"/>
      <bottom style="thin"/>
    </border>
    <border>
      <left style="thin"/>
      <right style="thin"/>
      <top style="double"/>
      <bottom style="thin"/>
    </border>
    <border>
      <left style="thin">
        <color indexed="9"/>
      </left>
      <right style="thin">
        <color theme="0"/>
      </right>
      <top style="thin">
        <color indexed="9"/>
      </top>
      <bottom style="thin">
        <color theme="0"/>
      </bottom>
    </border>
    <border>
      <left style="thin">
        <color theme="0"/>
      </left>
      <right style="thin">
        <color theme="0"/>
      </right>
      <top style="thin">
        <color indexed="9"/>
      </top>
      <bottom style="thin">
        <color theme="0"/>
      </bottom>
    </border>
    <border>
      <left style="thin">
        <color theme="0"/>
      </left>
      <right style="thin">
        <color indexed="9"/>
      </right>
      <top style="thin">
        <color indexed="9"/>
      </top>
      <bottom style="thin">
        <color theme="0"/>
      </bottom>
    </border>
    <border>
      <left style="thin">
        <color indexed="9"/>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indexed="9"/>
      </right>
      <top style="thin">
        <color theme="0"/>
      </top>
      <bottom style="thin">
        <color theme="0"/>
      </bottom>
    </border>
    <border>
      <left style="double"/>
      <right style="double"/>
      <top style="double"/>
      <bottom style="double"/>
    </border>
    <border>
      <left>
        <color indexed="63"/>
      </left>
      <right>
        <color indexed="63"/>
      </right>
      <top style="thin">
        <color indexed="9"/>
      </top>
      <bottom style="thin">
        <color indexed="9"/>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double"/>
    </border>
    <border>
      <left style="thin"/>
      <right style="thin"/>
      <top style="thin"/>
      <bottom style="double"/>
    </border>
    <border>
      <left style="thin"/>
      <right style="double"/>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17"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66" fillId="0" borderId="0" applyNumberFormat="0" applyFill="0" applyBorder="0" applyAlignment="0" applyProtection="0"/>
    <xf numFmtId="0" fontId="67" fillId="31" borderId="0" applyNumberFormat="0" applyBorder="0" applyAlignment="0" applyProtection="0"/>
  </cellStyleXfs>
  <cellXfs count="167">
    <xf numFmtId="0" fontId="0" fillId="0" borderId="0" xfId="0" applyAlignment="1">
      <alignment/>
    </xf>
    <xf numFmtId="0" fontId="3" fillId="0" borderId="10" xfId="0" applyFont="1" applyBorder="1" applyAlignment="1" applyProtection="1">
      <alignment horizontal="right" vertical="center"/>
      <protection/>
    </xf>
    <xf numFmtId="0" fontId="10"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1" xfId="0" applyFont="1" applyBorder="1" applyAlignment="1" applyProtection="1">
      <alignment horizontal="right" vertical="center"/>
      <protection/>
    </xf>
    <xf numFmtId="0" fontId="4"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11" fillId="0" borderId="12" xfId="0" applyFont="1" applyBorder="1" applyAlignment="1" applyProtection="1">
      <alignment vertical="center"/>
      <protection/>
    </xf>
    <xf numFmtId="0" fontId="4" fillId="0" borderId="11" xfId="0" applyFont="1" applyBorder="1" applyAlignment="1" applyProtection="1">
      <alignment vertical="center"/>
      <protection/>
    </xf>
    <xf numFmtId="0" fontId="12"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12"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protection/>
    </xf>
    <xf numFmtId="0" fontId="6" fillId="0" borderId="25" xfId="0" applyFont="1" applyBorder="1" applyAlignment="1" applyProtection="1">
      <alignment horizontal="right" vertical="center"/>
      <protection/>
    </xf>
    <xf numFmtId="0" fontId="12" fillId="0" borderId="26"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6" fillId="0" borderId="22" xfId="0" applyFont="1" applyBorder="1" applyAlignment="1" applyProtection="1">
      <alignment vertical="center" wrapText="1"/>
      <protection/>
    </xf>
    <xf numFmtId="0" fontId="4" fillId="0" borderId="28" xfId="0" applyFont="1" applyBorder="1" applyAlignment="1" applyProtection="1">
      <alignment vertical="center"/>
      <protection/>
    </xf>
    <xf numFmtId="0" fontId="6" fillId="0" borderId="22"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22" xfId="0" applyFont="1" applyBorder="1" applyAlignment="1" applyProtection="1">
      <alignment vertical="center" wrapText="1"/>
      <protection/>
    </xf>
    <xf numFmtId="0" fontId="13" fillId="0" borderId="18" xfId="0" applyFont="1" applyBorder="1" applyAlignment="1" applyProtection="1">
      <alignment horizontal="left" vertical="center"/>
      <protection/>
    </xf>
    <xf numFmtId="0" fontId="4" fillId="0" borderId="31" xfId="0" applyFont="1" applyBorder="1" applyAlignment="1" applyProtection="1">
      <alignment vertical="center"/>
      <protection/>
    </xf>
    <xf numFmtId="0" fontId="4" fillId="0" borderId="31" xfId="0" applyFont="1" applyBorder="1" applyAlignment="1" applyProtection="1">
      <alignment horizontal="right" vertical="center" wrapText="1"/>
      <protection/>
    </xf>
    <xf numFmtId="0" fontId="3" fillId="0" borderId="12" xfId="0" applyFont="1" applyBorder="1" applyAlignment="1" applyProtection="1">
      <alignment horizontal="right" vertical="center"/>
      <protection/>
    </xf>
    <xf numFmtId="0" fontId="4" fillId="0" borderId="32" xfId="0" applyFont="1" applyBorder="1" applyAlignment="1" applyProtection="1">
      <alignment vertical="center"/>
      <protection/>
    </xf>
    <xf numFmtId="0" fontId="5" fillId="0" borderId="33" xfId="0" applyFont="1" applyBorder="1" applyAlignment="1" applyProtection="1">
      <alignment vertical="center"/>
      <protection locked="0"/>
    </xf>
    <xf numFmtId="0" fontId="4" fillId="0" borderId="34" xfId="0" applyFont="1" applyBorder="1" applyAlignment="1" applyProtection="1">
      <alignment horizontal="center" vertical="center"/>
      <protection/>
    </xf>
    <xf numFmtId="0" fontId="6" fillId="0" borderId="31" xfId="0" applyFont="1" applyBorder="1" applyAlignment="1" applyProtection="1">
      <alignment horizontal="right" vertical="center"/>
      <protection/>
    </xf>
    <xf numFmtId="0" fontId="4" fillId="0" borderId="35" xfId="0" applyFont="1" applyBorder="1" applyAlignment="1" applyProtection="1">
      <alignment vertical="center"/>
      <protection/>
    </xf>
    <xf numFmtId="0" fontId="4" fillId="0" borderId="35" xfId="0" applyFont="1" applyBorder="1" applyAlignment="1" applyProtection="1">
      <alignment horizontal="left" vertical="center" wrapText="1"/>
      <protection/>
    </xf>
    <xf numFmtId="0" fontId="4" fillId="0" borderId="35" xfId="0" applyFont="1" applyBorder="1" applyAlignment="1" applyProtection="1">
      <alignment vertical="center" wrapText="1"/>
      <protection/>
    </xf>
    <xf numFmtId="0" fontId="4" fillId="0" borderId="22"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xf>
    <xf numFmtId="0" fontId="6" fillId="0" borderId="34" xfId="0" applyFont="1" applyBorder="1" applyAlignment="1" applyProtection="1">
      <alignment horizontal="right" vertical="center"/>
      <protection/>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protection/>
    </xf>
    <xf numFmtId="0" fontId="6" fillId="0" borderId="39" xfId="0" applyFont="1" applyBorder="1" applyAlignment="1" applyProtection="1">
      <alignment horizontal="right" vertical="center"/>
      <protection/>
    </xf>
    <xf numFmtId="0" fontId="13"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protection locked="0"/>
    </xf>
    <xf numFmtId="14" fontId="9" fillId="0" borderId="42" xfId="0" applyNumberFormat="1" applyFont="1" applyBorder="1" applyAlignment="1" applyProtection="1">
      <alignment horizontal="center" vertical="center"/>
      <protection locked="0"/>
    </xf>
    <xf numFmtId="0" fontId="18" fillId="32" borderId="0" xfId="0" applyFont="1" applyFill="1" applyAlignment="1">
      <alignment vertical="center" wrapText="1"/>
    </xf>
    <xf numFmtId="0" fontId="18" fillId="0" borderId="0" xfId="0" applyFont="1" applyAlignment="1">
      <alignment vertical="center" wrapText="1"/>
    </xf>
    <xf numFmtId="0" fontId="0" fillId="32" borderId="0" xfId="0" applyFill="1" applyAlignment="1">
      <alignment/>
    </xf>
    <xf numFmtId="0" fontId="0" fillId="32" borderId="43" xfId="0" applyFill="1" applyBorder="1" applyAlignment="1">
      <alignment/>
    </xf>
    <xf numFmtId="0" fontId="19" fillId="32" borderId="44" xfId="0" applyFont="1" applyFill="1" applyBorder="1" applyAlignment="1">
      <alignment vertical="center" wrapText="1"/>
    </xf>
    <xf numFmtId="0" fontId="0" fillId="32" borderId="45" xfId="0" applyFill="1" applyBorder="1" applyAlignment="1">
      <alignment/>
    </xf>
    <xf numFmtId="0" fontId="0" fillId="32" borderId="46" xfId="0" applyFill="1" applyBorder="1" applyAlignment="1">
      <alignment/>
    </xf>
    <xf numFmtId="0" fontId="18" fillId="32" borderId="0" xfId="0" applyFont="1" applyFill="1" applyBorder="1" applyAlignment="1">
      <alignment vertical="center" wrapText="1"/>
    </xf>
    <xf numFmtId="0" fontId="0" fillId="32" borderId="47" xfId="0" applyFill="1" applyBorder="1" applyAlignment="1">
      <alignment/>
    </xf>
    <xf numFmtId="0" fontId="18" fillId="33" borderId="0" xfId="0" applyFont="1" applyFill="1" applyBorder="1" applyAlignment="1">
      <alignment vertical="center" wrapText="1"/>
    </xf>
    <xf numFmtId="0" fontId="18" fillId="32" borderId="0" xfId="0" applyFont="1" applyFill="1" applyBorder="1" applyAlignment="1">
      <alignment horizontal="right" vertical="center" wrapText="1"/>
    </xf>
    <xf numFmtId="0" fontId="0" fillId="32" borderId="48" xfId="0" applyFill="1" applyBorder="1" applyAlignment="1">
      <alignment/>
    </xf>
    <xf numFmtId="0" fontId="18" fillId="32" borderId="49" xfId="0" applyFont="1" applyFill="1" applyBorder="1" applyAlignment="1">
      <alignment vertical="center" wrapText="1"/>
    </xf>
    <xf numFmtId="0" fontId="0" fillId="32" borderId="50" xfId="0" applyFill="1" applyBorder="1" applyAlignment="1">
      <alignment/>
    </xf>
    <xf numFmtId="0" fontId="18" fillId="32" borderId="0" xfId="0" applyFont="1" applyFill="1" applyAlignment="1">
      <alignment horizontal="center" vertical="center" wrapText="1"/>
    </xf>
    <xf numFmtId="0" fontId="20" fillId="0" borderId="34" xfId="0" applyFont="1" applyBorder="1" applyAlignment="1" applyProtection="1">
      <alignment horizontal="right" vertical="center"/>
      <protection/>
    </xf>
    <xf numFmtId="0" fontId="4" fillId="0" borderId="51" xfId="0" applyFont="1" applyBorder="1" applyAlignment="1" applyProtection="1">
      <alignment horizontal="left" vertical="center" wrapText="1"/>
      <protection/>
    </xf>
    <xf numFmtId="179" fontId="23" fillId="0" borderId="36" xfId="0" applyNumberFormat="1" applyFont="1" applyBorder="1" applyAlignment="1" applyProtection="1">
      <alignment horizontal="center" vertical="center"/>
      <protection locked="0"/>
    </xf>
    <xf numFmtId="179" fontId="23" fillId="0" borderId="22" xfId="0" applyNumberFormat="1" applyFont="1" applyBorder="1" applyAlignment="1" applyProtection="1">
      <alignment horizontal="center" vertical="center"/>
      <protection locked="0"/>
    </xf>
    <xf numFmtId="179" fontId="23" fillId="0" borderId="37" xfId="0" applyNumberFormat="1" applyFont="1" applyBorder="1" applyAlignment="1" applyProtection="1">
      <alignment horizontal="center" vertical="center"/>
      <protection locked="0"/>
    </xf>
    <xf numFmtId="184" fontId="23" fillId="0" borderId="36" xfId="0" applyNumberFormat="1" applyFont="1" applyBorder="1" applyAlignment="1" applyProtection="1">
      <alignment horizontal="center" vertical="center"/>
      <protection locked="0"/>
    </xf>
    <xf numFmtId="184" fontId="23" fillId="0" borderId="22" xfId="0" applyNumberFormat="1" applyFont="1" applyBorder="1" applyAlignment="1" applyProtection="1">
      <alignment horizontal="center" vertical="center"/>
      <protection locked="0"/>
    </xf>
    <xf numFmtId="184" fontId="23" fillId="0" borderId="37" xfId="0" applyNumberFormat="1" applyFont="1" applyBorder="1" applyAlignment="1" applyProtection="1">
      <alignment horizontal="center" vertical="center"/>
      <protection locked="0"/>
    </xf>
    <xf numFmtId="0" fontId="68" fillId="0" borderId="36" xfId="0" applyFont="1" applyFill="1" applyBorder="1" applyAlignment="1" applyProtection="1">
      <alignment horizontal="center" vertical="center" wrapText="1"/>
      <protection locked="0"/>
    </xf>
    <xf numFmtId="0" fontId="68" fillId="0" borderId="22" xfId="0" applyFont="1" applyFill="1" applyBorder="1" applyAlignment="1" applyProtection="1">
      <alignment horizontal="center" vertical="center" wrapText="1"/>
      <protection locked="0"/>
    </xf>
    <xf numFmtId="0" fontId="68" fillId="0" borderId="37" xfId="0" applyFont="1" applyFill="1" applyBorder="1" applyAlignment="1" applyProtection="1">
      <alignment horizontal="center" vertical="center" wrapText="1"/>
      <protection locked="0"/>
    </xf>
    <xf numFmtId="184" fontId="23" fillId="0" borderId="22" xfId="0" applyNumberFormat="1" applyFont="1" applyBorder="1" applyAlignment="1" applyProtection="1">
      <alignment horizontal="center" vertical="center"/>
      <protection/>
    </xf>
    <xf numFmtId="0" fontId="5" fillId="0" borderId="52"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4" fillId="0" borderId="34" xfId="0" applyFont="1" applyBorder="1" applyAlignment="1" applyProtection="1">
      <alignment vertical="center"/>
      <protection/>
    </xf>
    <xf numFmtId="0" fontId="23" fillId="0" borderId="22"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176" fontId="23" fillId="0" borderId="22" xfId="0" applyNumberFormat="1" applyFont="1" applyBorder="1" applyAlignment="1" applyProtection="1">
      <alignment horizontal="center" vertical="center"/>
      <protection/>
    </xf>
    <xf numFmtId="0" fontId="69" fillId="0" borderId="11" xfId="0" applyFont="1" applyFill="1" applyBorder="1" applyAlignment="1" applyProtection="1">
      <alignment vertical="center"/>
      <protection/>
    </xf>
    <xf numFmtId="0" fontId="70" fillId="0" borderId="54" xfId="0" applyFont="1" applyFill="1" applyBorder="1" applyAlignment="1" applyProtection="1">
      <alignment vertical="center"/>
      <protection/>
    </xf>
    <xf numFmtId="0" fontId="70" fillId="0" borderId="55" xfId="0" applyFont="1" applyFill="1" applyBorder="1" applyAlignment="1" applyProtection="1">
      <alignment vertical="center"/>
      <protection/>
    </xf>
    <xf numFmtId="0" fontId="69" fillId="0" borderId="55" xfId="0" applyFont="1" applyFill="1" applyBorder="1" applyAlignment="1" applyProtection="1">
      <alignment vertical="center"/>
      <protection/>
    </xf>
    <xf numFmtId="0" fontId="69" fillId="0" borderId="56" xfId="0" applyFont="1" applyFill="1" applyBorder="1" applyAlignment="1" applyProtection="1">
      <alignment vertical="center"/>
      <protection/>
    </xf>
    <xf numFmtId="0" fontId="69" fillId="0" borderId="57" xfId="0" applyFont="1" applyFill="1" applyBorder="1" applyAlignment="1" applyProtection="1">
      <alignment vertical="center"/>
      <protection/>
    </xf>
    <xf numFmtId="0" fontId="69" fillId="0" borderId="58" xfId="0" applyFont="1" applyFill="1" applyBorder="1" applyAlignment="1" applyProtection="1">
      <alignment vertical="center"/>
      <protection/>
    </xf>
    <xf numFmtId="0" fontId="70" fillId="0" borderId="58" xfId="0" applyFont="1" applyFill="1" applyBorder="1" applyAlignment="1" applyProtection="1">
      <alignment vertical="center"/>
      <protection/>
    </xf>
    <xf numFmtId="0" fontId="69" fillId="0" borderId="59" xfId="0" applyFont="1" applyFill="1" applyBorder="1" applyAlignment="1" applyProtection="1">
      <alignment vertical="center"/>
      <protection/>
    </xf>
    <xf numFmtId="0" fontId="69" fillId="0" borderId="58" xfId="0" applyFont="1" applyFill="1" applyBorder="1" applyAlignment="1" applyProtection="1" quotePrefix="1">
      <alignment vertical="center"/>
      <protection/>
    </xf>
    <xf numFmtId="0" fontId="69" fillId="0" borderId="57" xfId="0" applyFont="1" applyFill="1" applyBorder="1" applyAlignment="1" applyProtection="1">
      <alignment horizontal="right" vertical="center"/>
      <protection/>
    </xf>
    <xf numFmtId="0" fontId="69" fillId="0" borderId="58" xfId="0" applyFont="1" applyFill="1" applyBorder="1" applyAlignment="1" applyProtection="1">
      <alignment horizontal="right" vertical="center"/>
      <protection/>
    </xf>
    <xf numFmtId="0" fontId="71" fillId="0" borderId="57" xfId="0" applyFont="1" applyBorder="1" applyAlignment="1" applyProtection="1">
      <alignment vertical="center"/>
      <protection/>
    </xf>
    <xf numFmtId="0" fontId="71" fillId="0" borderId="58"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59" xfId="0" applyFont="1" applyBorder="1" applyAlignment="1" applyProtection="1">
      <alignment vertical="center"/>
      <protection/>
    </xf>
    <xf numFmtId="184" fontId="71" fillId="0" borderId="58" xfId="0" applyNumberFormat="1" applyFont="1" applyBorder="1" applyAlignment="1" applyProtection="1">
      <alignment vertical="center"/>
      <protection/>
    </xf>
    <xf numFmtId="0" fontId="25" fillId="0" borderId="10" xfId="0" applyFont="1" applyBorder="1" applyAlignment="1" applyProtection="1">
      <alignment horizontal="left" vertical="center"/>
      <protection/>
    </xf>
    <xf numFmtId="0" fontId="4" fillId="0" borderId="55" xfId="0" applyFont="1" applyFill="1" applyBorder="1" applyAlignment="1" applyProtection="1">
      <alignment vertical="center"/>
      <protection/>
    </xf>
    <xf numFmtId="0" fontId="4" fillId="0" borderId="56" xfId="0" applyFont="1" applyFill="1" applyBorder="1" applyAlignment="1" applyProtection="1">
      <alignment vertical="center"/>
      <protection/>
    </xf>
    <xf numFmtId="0" fontId="13" fillId="0" borderId="10" xfId="0" applyFont="1" applyBorder="1" applyAlignment="1" applyProtection="1">
      <alignment horizontal="left" vertical="center"/>
      <protection/>
    </xf>
    <xf numFmtId="0" fontId="4" fillId="0" borderId="18" xfId="0" applyFont="1" applyBorder="1" applyAlignment="1" applyProtection="1">
      <alignment vertical="center"/>
      <protection/>
    </xf>
    <xf numFmtId="0" fontId="4" fillId="0" borderId="58" xfId="0" applyFont="1" applyFill="1" applyBorder="1" applyAlignment="1" applyProtection="1">
      <alignment vertical="center"/>
      <protection/>
    </xf>
    <xf numFmtId="0" fontId="4" fillId="0" borderId="59" xfId="0" applyFont="1" applyFill="1" applyBorder="1" applyAlignment="1" applyProtection="1">
      <alignment vertical="center"/>
      <protection/>
    </xf>
    <xf numFmtId="0" fontId="4" fillId="0" borderId="26" xfId="0" applyFont="1" applyBorder="1" applyAlignment="1" applyProtection="1">
      <alignment vertical="center"/>
      <protection/>
    </xf>
    <xf numFmtId="0" fontId="4" fillId="0" borderId="57" xfId="0" applyFont="1" applyBorder="1" applyAlignment="1" applyProtection="1">
      <alignment vertical="center"/>
      <protection/>
    </xf>
    <xf numFmtId="0" fontId="5" fillId="0" borderId="60" xfId="0" applyFont="1" applyBorder="1" applyAlignment="1" applyProtection="1">
      <alignment horizontal="center" vertical="center" wrapText="1"/>
      <protection locked="0"/>
    </xf>
    <xf numFmtId="0" fontId="13" fillId="0" borderId="60"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179" fontId="23" fillId="0" borderId="60" xfId="0" applyNumberFormat="1" applyFont="1" applyBorder="1" applyAlignment="1" applyProtection="1">
      <alignment horizontal="center" vertical="center"/>
      <protection locked="0"/>
    </xf>
    <xf numFmtId="184" fontId="23" fillId="0" borderId="60" xfId="0" applyNumberFormat="1" applyFont="1" applyBorder="1" applyAlignment="1" applyProtection="1">
      <alignment horizontal="center" vertical="center"/>
      <protection locked="0"/>
    </xf>
    <xf numFmtId="0" fontId="23" fillId="0" borderId="60"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xf>
    <xf numFmtId="0" fontId="6" fillId="0" borderId="25"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31" xfId="0" applyFont="1" applyBorder="1" applyAlignment="1" applyProtection="1">
      <alignment horizontal="center" vertical="center" wrapText="1"/>
      <protection/>
    </xf>
    <xf numFmtId="0" fontId="6" fillId="0" borderId="31" xfId="0" applyFont="1" applyBorder="1" applyAlignment="1" applyProtection="1">
      <alignment horizontal="center" vertical="center"/>
      <protection/>
    </xf>
    <xf numFmtId="0" fontId="4" fillId="0" borderId="31" xfId="0" applyFont="1" applyBorder="1" applyAlignment="1" applyProtection="1">
      <alignment horizontal="center" vertical="center" wrapText="1"/>
      <protection/>
    </xf>
    <xf numFmtId="0" fontId="6" fillId="0" borderId="22" xfId="0" applyFont="1" applyBorder="1" applyAlignment="1" applyProtection="1">
      <alignment horizontal="left" vertical="center" wrapText="1" indent="1"/>
      <protection/>
    </xf>
    <xf numFmtId="0" fontId="6" fillId="0" borderId="22" xfId="0" applyFont="1" applyBorder="1" applyAlignment="1" applyProtection="1">
      <alignment horizontal="left" vertical="center" indent="1"/>
      <protection/>
    </xf>
    <xf numFmtId="0" fontId="5" fillId="0" borderId="41" xfId="0" applyFont="1" applyBorder="1" applyAlignment="1" applyProtection="1">
      <alignment horizontal="center" vertical="center"/>
      <protection locked="0"/>
    </xf>
    <xf numFmtId="0" fontId="70" fillId="0" borderId="11" xfId="0" applyFont="1" applyBorder="1" applyAlignment="1" applyProtection="1">
      <alignment vertical="center"/>
      <protection/>
    </xf>
    <xf numFmtId="0" fontId="69" fillId="0" borderId="57" xfId="0" applyFont="1" applyBorder="1" applyAlignment="1" applyProtection="1">
      <alignment vertical="center"/>
      <protection/>
    </xf>
    <xf numFmtId="0" fontId="69" fillId="0" borderId="58" xfId="0" applyFont="1" applyBorder="1" applyAlignment="1" applyProtection="1">
      <alignment vertical="center"/>
      <protection/>
    </xf>
    <xf numFmtId="184" fontId="69" fillId="0" borderId="58" xfId="0" applyNumberFormat="1" applyFont="1" applyBorder="1" applyAlignment="1" applyProtection="1">
      <alignment vertical="center"/>
      <protection/>
    </xf>
    <xf numFmtId="0" fontId="4" fillId="0" borderId="10" xfId="0" applyFont="1" applyBorder="1" applyAlignment="1" applyProtection="1">
      <alignment horizontal="left" vertical="center" wrapText="1"/>
      <protection/>
    </xf>
    <xf numFmtId="0" fontId="4" fillId="0" borderId="61"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184" fontId="23" fillId="0" borderId="22" xfId="0" applyNumberFormat="1" applyFont="1" applyBorder="1" applyAlignment="1" applyProtection="1">
      <alignment horizontal="center" vertical="center"/>
      <protection/>
    </xf>
    <xf numFmtId="0" fontId="23" fillId="0" borderId="22" xfId="0" applyNumberFormat="1"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35" xfId="0" applyFont="1" applyBorder="1" applyAlignment="1" applyProtection="1">
      <alignment horizontal="center" vertical="center"/>
      <protection/>
    </xf>
    <xf numFmtId="0" fontId="23" fillId="0" borderId="60" xfId="0" applyFont="1" applyBorder="1" applyAlignment="1" applyProtection="1">
      <alignment horizontal="center" vertical="center"/>
      <protection locked="0"/>
    </xf>
    <xf numFmtId="0" fontId="6" fillId="0" borderId="51" xfId="0" applyFont="1" applyBorder="1" applyAlignment="1" applyProtection="1">
      <alignment horizontal="left" vertical="center" wrapText="1"/>
      <protection/>
    </xf>
    <xf numFmtId="0" fontId="6" fillId="0" borderId="62" xfId="0" applyFont="1" applyBorder="1" applyAlignment="1" applyProtection="1">
      <alignment horizontal="left" vertical="center"/>
      <protection/>
    </xf>
    <xf numFmtId="0" fontId="6" fillId="0" borderId="63" xfId="0" applyFont="1" applyBorder="1" applyAlignment="1" applyProtection="1">
      <alignment horizontal="left" vertical="center"/>
      <protection/>
    </xf>
    <xf numFmtId="0" fontId="4" fillId="0" borderId="3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5" fillId="0" borderId="64" xfId="0" applyFont="1" applyBorder="1" applyAlignment="1" applyProtection="1">
      <alignment horizontal="left" vertical="center" indent="1"/>
      <protection locked="0"/>
    </xf>
    <xf numFmtId="0" fontId="5" fillId="0" borderId="65" xfId="0" applyFont="1" applyBorder="1" applyAlignment="1" applyProtection="1">
      <alignment horizontal="left" vertical="center" indent="1"/>
      <protection locked="0"/>
    </xf>
    <xf numFmtId="0" fontId="5" fillId="0" borderId="66" xfId="0" applyFont="1" applyBorder="1" applyAlignment="1" applyProtection="1">
      <alignment horizontal="left" vertical="center" indent="1"/>
      <protection locked="0"/>
    </xf>
    <xf numFmtId="0" fontId="4" fillId="0" borderId="34" xfId="0" applyFont="1" applyBorder="1" applyAlignment="1" applyProtection="1">
      <alignment horizontal="center" vertical="center"/>
      <protection/>
    </xf>
    <xf numFmtId="0" fontId="4" fillId="0" borderId="67"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9" fillId="0" borderId="68" xfId="0" applyFont="1" applyBorder="1" applyAlignment="1" applyProtection="1">
      <alignment horizontal="center" vertical="center"/>
      <protection locked="0"/>
    </xf>
    <xf numFmtId="0" fontId="9" fillId="0" borderId="69"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4" fillId="0" borderId="31" xfId="0" applyFont="1" applyBorder="1" applyAlignment="1" applyProtection="1">
      <alignment horizontal="right" vertical="center"/>
      <protection/>
    </xf>
    <xf numFmtId="0" fontId="4" fillId="0" borderId="35" xfId="0" applyFont="1" applyBorder="1" applyAlignment="1" applyProtection="1">
      <alignment horizontal="right" vertical="center"/>
      <protection/>
    </xf>
    <xf numFmtId="0" fontId="6" fillId="0" borderId="63" xfId="0" applyFont="1" applyBorder="1" applyAlignment="1" applyProtection="1">
      <alignment horizontal="left" vertical="center" wrapText="1"/>
      <protection/>
    </xf>
    <xf numFmtId="0" fontId="23" fillId="0" borderId="36"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xf>
    <xf numFmtId="0" fontId="23" fillId="0" borderId="71"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179" fontId="23" fillId="0" borderId="22"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5">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strike val="0"/>
        <color theme="0" tint="-0.24993999302387238"/>
      </font>
      <fill>
        <patternFill>
          <bgColor theme="0" tint="-0.24993999302387238"/>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color theme="0" tint="-0.24993999302387238"/>
      </font>
      <fill>
        <patternFill>
          <bgColor theme="0" tint="-0.24993999302387238"/>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theme="0"/>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strike val="0"/>
        <color theme="0" tint="-0.24993999302387238"/>
      </font>
      <fill>
        <patternFill>
          <bgColor theme="0" tint="-0.24993999302387238"/>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color theme="0" tint="-0.24993999302387238"/>
      </font>
      <fill>
        <patternFill>
          <bgColor theme="0" tint="-0.24993999302387238"/>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theme="0"/>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theme="0"/>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name val="ＭＳ Ｐゴシック"/>
        <family val="3"/>
        <color indexed="9"/>
      </font>
      <fill>
        <patternFill>
          <bgColor rgb="FFFF0000"/>
        </patternFill>
      </fill>
    </dxf>
    <dxf>
      <font>
        <b/>
        <i val="0"/>
        <color rgb="FFFFFFFF"/>
      </font>
      <fill>
        <patternFill>
          <bgColor rgb="FFFF0000"/>
        </patternFill>
      </fill>
      <border/>
    </dxf>
    <dxf>
      <font>
        <b/>
        <i val="0"/>
        <color theme="0"/>
      </font>
      <fill>
        <patternFill>
          <bgColor rgb="FFFF0000"/>
        </patternFill>
      </fill>
      <border/>
    </dxf>
    <dxf>
      <font>
        <color theme="0" tint="-0.24993999302387238"/>
      </font>
      <fill>
        <patternFill>
          <bgColor theme="0" tint="-0.24993999302387238"/>
        </patternFill>
      </fill>
      <border/>
    </dxf>
    <dxf>
      <font>
        <color rgb="FFFFFFFF"/>
      </font>
      <fill>
        <patternFill>
          <bgColor rgb="FFFF0000"/>
        </patternFill>
      </fill>
      <border/>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161925</xdr:rowOff>
    </xdr:from>
    <xdr:to>
      <xdr:col>2</xdr:col>
      <xdr:colOff>28575</xdr:colOff>
      <xdr:row>120</xdr:row>
      <xdr:rowOff>28575</xdr:rowOff>
    </xdr:to>
    <xdr:pic>
      <xdr:nvPicPr>
        <xdr:cNvPr id="1" name="図 24"/>
        <xdr:cNvPicPr preferRelativeResize="1">
          <a:picLocks noChangeAspect="1"/>
        </xdr:cNvPicPr>
      </xdr:nvPicPr>
      <xdr:blipFill>
        <a:blip r:embed="rId1"/>
        <a:stretch>
          <a:fillRect/>
        </a:stretch>
      </xdr:blipFill>
      <xdr:spPr>
        <a:xfrm>
          <a:off x="142875" y="16411575"/>
          <a:ext cx="10744200" cy="16163925"/>
        </a:xfrm>
        <a:prstGeom prst="rect">
          <a:avLst/>
        </a:prstGeom>
        <a:noFill/>
        <a:ln w="9525" cmpd="sng">
          <a:noFill/>
        </a:ln>
      </xdr:spPr>
    </xdr:pic>
    <xdr:clientData/>
  </xdr:twoCellAnchor>
  <xdr:twoCellAnchor>
    <xdr:from>
      <xdr:col>1</xdr:col>
      <xdr:colOff>476250</xdr:colOff>
      <xdr:row>44</xdr:row>
      <xdr:rowOff>19050</xdr:rowOff>
    </xdr:from>
    <xdr:to>
      <xdr:col>1</xdr:col>
      <xdr:colOff>9848850</xdr:colOff>
      <xdr:row>121</xdr:row>
      <xdr:rowOff>76200</xdr:rowOff>
    </xdr:to>
    <xdr:grpSp>
      <xdr:nvGrpSpPr>
        <xdr:cNvPr id="2" name="グループ化 3"/>
        <xdr:cNvGrpSpPr>
          <a:grpSpLocks/>
        </xdr:cNvGrpSpPr>
      </xdr:nvGrpSpPr>
      <xdr:grpSpPr>
        <a:xfrm>
          <a:off x="590550" y="16506825"/>
          <a:ext cx="9382125" cy="16287750"/>
          <a:chOff x="535778" y="15448255"/>
          <a:chExt cx="8600467" cy="16042784"/>
        </a:xfrm>
        <a:solidFill>
          <a:srgbClr val="FFFFFF"/>
        </a:solidFill>
      </xdr:grpSpPr>
      <xdr:sp>
        <xdr:nvSpPr>
          <xdr:cNvPr id="3" name="テキスト ボックス 1"/>
          <xdr:cNvSpPr txBox="1">
            <a:spLocks noChangeArrowheads="1"/>
          </xdr:cNvSpPr>
        </xdr:nvSpPr>
        <xdr:spPr>
          <a:xfrm>
            <a:off x="3565293" y="15448255"/>
            <a:ext cx="883698" cy="545455"/>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①</a:t>
            </a:r>
          </a:p>
        </xdr:txBody>
      </xdr:sp>
      <xdr:sp>
        <xdr:nvSpPr>
          <xdr:cNvPr id="4" name="テキスト ボックス 5"/>
          <xdr:cNvSpPr txBox="1">
            <a:spLocks noChangeArrowheads="1"/>
          </xdr:cNvSpPr>
        </xdr:nvSpPr>
        <xdr:spPr>
          <a:xfrm>
            <a:off x="6399146" y="15504405"/>
            <a:ext cx="877248" cy="545455"/>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②</a:t>
            </a:r>
          </a:p>
        </xdr:txBody>
      </xdr:sp>
      <xdr:sp>
        <xdr:nvSpPr>
          <xdr:cNvPr id="5" name="テキスト ボックス 6"/>
          <xdr:cNvSpPr txBox="1">
            <a:spLocks noChangeArrowheads="1"/>
          </xdr:cNvSpPr>
        </xdr:nvSpPr>
        <xdr:spPr>
          <a:xfrm>
            <a:off x="656185" y="16366704"/>
            <a:ext cx="864347"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③</a:t>
            </a:r>
          </a:p>
        </xdr:txBody>
      </xdr:sp>
      <xdr:sp>
        <xdr:nvSpPr>
          <xdr:cNvPr id="6" name="テキスト ボックス 7"/>
          <xdr:cNvSpPr txBox="1">
            <a:spLocks noChangeArrowheads="1"/>
          </xdr:cNvSpPr>
        </xdr:nvSpPr>
        <xdr:spPr>
          <a:xfrm>
            <a:off x="4068420" y="16346651"/>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④</a:t>
            </a:r>
          </a:p>
        </xdr:txBody>
      </xdr:sp>
      <xdr:sp>
        <xdr:nvSpPr>
          <xdr:cNvPr id="7" name="テキスト ボックス 8"/>
          <xdr:cNvSpPr txBox="1">
            <a:spLocks noChangeArrowheads="1"/>
          </xdr:cNvSpPr>
        </xdr:nvSpPr>
        <xdr:spPr>
          <a:xfrm>
            <a:off x="5801414" y="17164833"/>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⑤</a:t>
            </a:r>
          </a:p>
        </xdr:txBody>
      </xdr:sp>
      <xdr:sp>
        <xdr:nvSpPr>
          <xdr:cNvPr id="8" name="テキスト ボックス 20"/>
          <xdr:cNvSpPr txBox="1">
            <a:spLocks noChangeArrowheads="1"/>
          </xdr:cNvSpPr>
        </xdr:nvSpPr>
        <xdr:spPr>
          <a:xfrm>
            <a:off x="5820765" y="28134086"/>
            <a:ext cx="877248" cy="541444"/>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⑰</a:t>
            </a:r>
          </a:p>
        </xdr:txBody>
      </xdr:sp>
      <xdr:sp>
        <xdr:nvSpPr>
          <xdr:cNvPr id="9" name="右中かっこ 4"/>
          <xdr:cNvSpPr>
            <a:spLocks/>
          </xdr:cNvSpPr>
        </xdr:nvSpPr>
        <xdr:spPr>
          <a:xfrm>
            <a:off x="5631555" y="27660824"/>
            <a:ext cx="232213" cy="1347594"/>
          </a:xfrm>
          <a:prstGeom prst="rightBrac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21"/>
          <xdr:cNvSpPr txBox="1">
            <a:spLocks noChangeArrowheads="1"/>
          </xdr:cNvSpPr>
        </xdr:nvSpPr>
        <xdr:spPr>
          <a:xfrm>
            <a:off x="535778" y="31106012"/>
            <a:ext cx="8600467" cy="385027"/>
          </a:xfrm>
          <a:prstGeom prst="rect">
            <a:avLst/>
          </a:prstGeom>
          <a:noFill/>
          <a:ln w="9525" cmpd="sng">
            <a:noFill/>
          </a:ln>
        </xdr:spPr>
        <xdr:txBody>
          <a:bodyPr vertOverflow="clip" wrap="square" lIns="36576" tIns="22860" rIns="0" bIns="0"/>
          <a:p>
            <a:pPr algn="ctr">
              <a:defRPr/>
            </a:pPr>
            <a:r>
              <a:rPr lang="en-US" cap="none" sz="1400" b="0" i="0" u="none" baseline="0">
                <a:solidFill>
                  <a:srgbClr val="000000"/>
                </a:solidFill>
                <a:latin typeface="HG丸ｺﾞｼｯｸM-PRO"/>
                <a:ea typeface="HG丸ｺﾞｼｯｸM-PRO"/>
                <a:cs typeface="HG丸ｺﾞｼｯｸM-PRO"/>
              </a:rPr>
              <a:t>図</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住宅用</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地中熱交換器タイプ確認シート</a:t>
            </a:r>
            <a:r>
              <a:rPr lang="en-US" cap="none" sz="1400" b="0" i="0" u="none" baseline="0">
                <a:solidFill>
                  <a:srgbClr val="000000"/>
                </a:solidFill>
                <a:latin typeface="HG丸ｺﾞｼｯｸM-PRO"/>
                <a:ea typeface="HG丸ｺﾞｼｯｸM-PRO"/>
                <a:cs typeface="HG丸ｺﾞｼｯｸM-PRO"/>
              </a:rPr>
              <a:t>(Ver.</a:t>
            </a:r>
            <a:r>
              <a:rPr lang="en-US" cap="none" sz="1400" b="0" i="0" u="none" baseline="0">
                <a:solidFill>
                  <a:srgbClr val="000000"/>
                </a:solidFill>
                <a:latin typeface="HG丸ｺﾞｼｯｸM-PRO"/>
                <a:ea typeface="HG丸ｺﾞｼｯｸM-PRO"/>
                <a:cs typeface="HG丸ｺﾞｼｯｸM-PRO"/>
              </a:rPr>
              <a:t>3</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」における記入例</a:t>
            </a:r>
          </a:p>
        </xdr:txBody>
      </xdr:sp>
      <xdr:sp>
        <xdr:nvSpPr>
          <xdr:cNvPr id="11" name="テキスト ボックス 27"/>
          <xdr:cNvSpPr txBox="1">
            <a:spLocks noChangeArrowheads="1"/>
          </xdr:cNvSpPr>
        </xdr:nvSpPr>
        <xdr:spPr>
          <a:xfrm>
            <a:off x="5801414" y="17798523"/>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⑥</a:t>
            </a:r>
          </a:p>
        </xdr:txBody>
      </xdr:sp>
      <xdr:sp>
        <xdr:nvSpPr>
          <xdr:cNvPr id="12" name="テキスト ボックス 28"/>
          <xdr:cNvSpPr txBox="1">
            <a:spLocks noChangeArrowheads="1"/>
          </xdr:cNvSpPr>
        </xdr:nvSpPr>
        <xdr:spPr>
          <a:xfrm>
            <a:off x="5801414" y="18319913"/>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⑦</a:t>
            </a:r>
          </a:p>
        </xdr:txBody>
      </xdr:sp>
      <xdr:sp>
        <xdr:nvSpPr>
          <xdr:cNvPr id="13" name="テキスト ボックス 29"/>
          <xdr:cNvSpPr txBox="1">
            <a:spLocks noChangeArrowheads="1"/>
          </xdr:cNvSpPr>
        </xdr:nvSpPr>
        <xdr:spPr>
          <a:xfrm>
            <a:off x="5801414" y="18985689"/>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⑧</a:t>
            </a:r>
          </a:p>
        </xdr:txBody>
      </xdr:sp>
      <xdr:sp>
        <xdr:nvSpPr>
          <xdr:cNvPr id="14" name="テキスト ボックス 30"/>
          <xdr:cNvSpPr txBox="1">
            <a:spLocks noChangeArrowheads="1"/>
          </xdr:cNvSpPr>
        </xdr:nvSpPr>
        <xdr:spPr>
          <a:xfrm>
            <a:off x="5801414" y="20016438"/>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⑨</a:t>
            </a:r>
          </a:p>
        </xdr:txBody>
      </xdr:sp>
      <xdr:sp>
        <xdr:nvSpPr>
          <xdr:cNvPr id="15" name="テキスト ボックス 31"/>
          <xdr:cNvSpPr txBox="1">
            <a:spLocks noChangeArrowheads="1"/>
          </xdr:cNvSpPr>
        </xdr:nvSpPr>
        <xdr:spPr>
          <a:xfrm>
            <a:off x="5801414" y="21171518"/>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⑩</a:t>
            </a:r>
          </a:p>
        </xdr:txBody>
      </xdr:sp>
      <xdr:sp>
        <xdr:nvSpPr>
          <xdr:cNvPr id="16" name="テキスト ボックス 32"/>
          <xdr:cNvSpPr txBox="1">
            <a:spLocks noChangeArrowheads="1"/>
          </xdr:cNvSpPr>
        </xdr:nvSpPr>
        <xdr:spPr>
          <a:xfrm>
            <a:off x="5801414" y="22290502"/>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⑪</a:t>
            </a:r>
          </a:p>
        </xdr:txBody>
      </xdr:sp>
      <xdr:sp>
        <xdr:nvSpPr>
          <xdr:cNvPr id="17" name="テキスト ボックス 33"/>
          <xdr:cNvSpPr txBox="1">
            <a:spLocks noChangeArrowheads="1"/>
          </xdr:cNvSpPr>
        </xdr:nvSpPr>
        <xdr:spPr>
          <a:xfrm>
            <a:off x="5801414" y="23321251"/>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⑫</a:t>
            </a:r>
          </a:p>
        </xdr:txBody>
      </xdr:sp>
      <xdr:sp>
        <xdr:nvSpPr>
          <xdr:cNvPr id="18" name="テキスト ボックス 34"/>
          <xdr:cNvSpPr txBox="1">
            <a:spLocks noChangeArrowheads="1"/>
          </xdr:cNvSpPr>
        </xdr:nvSpPr>
        <xdr:spPr>
          <a:xfrm>
            <a:off x="5801414" y="24215636"/>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⑬</a:t>
            </a:r>
          </a:p>
        </xdr:txBody>
      </xdr:sp>
      <xdr:sp>
        <xdr:nvSpPr>
          <xdr:cNvPr id="19" name="テキスト ボックス 35"/>
          <xdr:cNvSpPr txBox="1">
            <a:spLocks noChangeArrowheads="1"/>
          </xdr:cNvSpPr>
        </xdr:nvSpPr>
        <xdr:spPr>
          <a:xfrm>
            <a:off x="5801414" y="25791840"/>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⑭</a:t>
            </a:r>
          </a:p>
        </xdr:txBody>
      </xdr:sp>
      <xdr:sp>
        <xdr:nvSpPr>
          <xdr:cNvPr id="20" name="テキスト ボックス 36"/>
          <xdr:cNvSpPr txBox="1">
            <a:spLocks noChangeArrowheads="1"/>
          </xdr:cNvSpPr>
        </xdr:nvSpPr>
        <xdr:spPr>
          <a:xfrm>
            <a:off x="5801414" y="26670182"/>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⑮</a:t>
            </a:r>
          </a:p>
        </xdr:txBody>
      </xdr:sp>
      <xdr:sp>
        <xdr:nvSpPr>
          <xdr:cNvPr id="21" name="テキスト ボックス 37"/>
          <xdr:cNvSpPr txBox="1">
            <a:spLocks noChangeArrowheads="1"/>
          </xdr:cNvSpPr>
        </xdr:nvSpPr>
        <xdr:spPr>
          <a:xfrm>
            <a:off x="5801414" y="27155477"/>
            <a:ext cx="877248" cy="553476"/>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⑯</a:t>
            </a:r>
          </a:p>
        </xdr:txBody>
      </xdr:sp>
      <xdr:sp>
        <xdr:nvSpPr>
          <xdr:cNvPr id="22" name="テキスト ボックス 38"/>
          <xdr:cNvSpPr txBox="1">
            <a:spLocks noChangeArrowheads="1"/>
          </xdr:cNvSpPr>
        </xdr:nvSpPr>
        <xdr:spPr>
          <a:xfrm>
            <a:off x="5820765" y="29048525"/>
            <a:ext cx="877248" cy="541444"/>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⑱</a:t>
            </a:r>
          </a:p>
        </xdr:txBody>
      </xdr:sp>
      <xdr:sp>
        <xdr:nvSpPr>
          <xdr:cNvPr id="23" name="テキスト ボックス 39"/>
          <xdr:cNvSpPr txBox="1">
            <a:spLocks noChangeArrowheads="1"/>
          </xdr:cNvSpPr>
        </xdr:nvSpPr>
        <xdr:spPr>
          <a:xfrm>
            <a:off x="5820765" y="29353338"/>
            <a:ext cx="877248" cy="541444"/>
          </a:xfrm>
          <a:prstGeom prst="rect">
            <a:avLst/>
          </a:prstGeom>
          <a:noFill/>
          <a:ln w="9525" cmpd="sng">
            <a:noFill/>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⑲</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28575</xdr:rowOff>
    </xdr:from>
    <xdr:to>
      <xdr:col>7</xdr:col>
      <xdr:colOff>0</xdr:colOff>
      <xdr:row>37</xdr:row>
      <xdr:rowOff>171450</xdr:rowOff>
    </xdr:to>
    <xdr:sp>
      <xdr:nvSpPr>
        <xdr:cNvPr id="1" name="テキスト ボックス 1"/>
        <xdr:cNvSpPr txBox="1">
          <a:spLocks noChangeArrowheads="1"/>
        </xdr:cNvSpPr>
      </xdr:nvSpPr>
      <xdr:spPr>
        <a:xfrm>
          <a:off x="38100" y="17173575"/>
          <a:ext cx="12668250" cy="1752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本シートの使用にあたっては、以下の注意事項を確認し、承諾したものとみなします</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「二重枠」に囲まれたセルに地中熱ヒートポンプシステムの諸元を入力することで、自動計算により地中熱交換器の採熱・放熱能力を反映した「タイプ」を確認することができます。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は、地中熱ヒートポンプシステムの諸元を確認できる図面資料等と揃えてまとめて提出することで、審査の簡略化を図ることを意図して作成しています。算定結果の正しさを保証するものではありませんので、使用者の責任において使用してくださ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本シートは、「</a:t>
          </a:r>
          <a:r>
            <a:rPr lang="en-US" cap="none" sz="1100" b="0" i="0" u="none" baseline="0">
              <a:solidFill>
                <a:srgbClr val="000000"/>
              </a:solidFill>
              <a:latin typeface="Times New Roman"/>
              <a:ea typeface="Times New Roman"/>
              <a:cs typeface="Times New Roman"/>
            </a:rPr>
            <a:t>3</a:t>
          </a:r>
          <a:r>
            <a:rPr lang="en-US" cap="none" sz="1100" b="0" i="0" u="none" baseline="0">
              <a:solidFill>
                <a:srgbClr val="000000"/>
              </a:solidFill>
              <a:latin typeface="ＭＳ Ｐ明朝"/>
              <a:ea typeface="ＭＳ Ｐ明朝"/>
              <a:cs typeface="ＭＳ Ｐ明朝"/>
            </a:rPr>
            <a:t>種類」までの異なる熱交換部位で構成された地中熱交換器まで扱うことができます。「</a:t>
          </a:r>
          <a:r>
            <a:rPr lang="en-US" cap="none" sz="1100" b="0" i="0" u="none" baseline="0">
              <a:solidFill>
                <a:srgbClr val="000000"/>
              </a:solidFill>
              <a:latin typeface="Times New Roman"/>
              <a:ea typeface="Times New Roman"/>
              <a:cs typeface="Times New Roman"/>
            </a:rPr>
            <a:t>4</a:t>
          </a:r>
          <a:r>
            <a:rPr lang="en-US" cap="none" sz="1100" b="0" i="0" u="none" baseline="0">
              <a:solidFill>
                <a:srgbClr val="000000"/>
              </a:solidFill>
              <a:latin typeface="ＭＳ Ｐ明朝"/>
              <a:ea typeface="ＭＳ Ｐ明朝"/>
              <a:cs typeface="ＭＳ Ｐ明朝"/>
            </a:rPr>
            <a:t>種類」以上の場合は本シートを複数枚使用する等で対応してください。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入力する数値の桁数は、右側の注意事項を確認して入力してください。指定の桁数を超えて入力しても、表示および計算式には反映されないようになっています。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表示されている数式等の記号については、</a:t>
          </a:r>
          <a:r>
            <a:rPr lang="en-US" cap="none" sz="1100" b="0" i="0" u="none" baseline="0">
              <a:solidFill>
                <a:srgbClr val="000000"/>
              </a:solidFill>
              <a:latin typeface="Times New Roman"/>
              <a:ea typeface="Times New Roman"/>
              <a:cs typeface="Times New Roman"/>
            </a:rPr>
            <a:t>Excel</a:t>
          </a:r>
          <a:r>
            <a:rPr lang="en-US" cap="none" sz="1100" b="0" i="0" u="none" baseline="0">
              <a:solidFill>
                <a:srgbClr val="000000"/>
              </a:solidFill>
              <a:latin typeface="ＭＳ Ｐ明朝"/>
              <a:ea typeface="ＭＳ Ｐ明朝"/>
              <a:cs typeface="ＭＳ Ｐ明朝"/>
            </a:rPr>
            <a:t>の表記上の制限により、下付上付、添え字等が計算仕様書と異なる表記となっている場合があります。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本シートの使用にあたり操作が不要なセルについては、誤操作を防止するために「ロック」をかけています。ロックは「</a:t>
          </a:r>
          <a:r>
            <a:rPr lang="en-US" cap="none" sz="1100" b="0" i="0" u="none" baseline="0">
              <a:solidFill>
                <a:srgbClr val="000000"/>
              </a:solidFill>
              <a:latin typeface="Times New Roman"/>
              <a:ea typeface="Times New Roman"/>
              <a:cs typeface="Times New Roman"/>
            </a:rPr>
            <a:t>gshp2020</a:t>
          </a:r>
          <a:r>
            <a:rPr lang="en-US" cap="none" sz="1100" b="0" i="0" u="none" baseline="0">
              <a:solidFill>
                <a:srgbClr val="000000"/>
              </a:solidFill>
              <a:latin typeface="ＭＳ Ｐ明朝"/>
              <a:ea typeface="ＭＳ Ｐ明朝"/>
              <a:cs typeface="ＭＳ Ｐ明朝"/>
            </a:rPr>
            <a:t>」で解除できます。解除後にセル内の数式を変更しますと正しい計算ができなくなることがありますので、ご注意ください。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28575</xdr:rowOff>
    </xdr:from>
    <xdr:to>
      <xdr:col>7</xdr:col>
      <xdr:colOff>0</xdr:colOff>
      <xdr:row>37</xdr:row>
      <xdr:rowOff>171450</xdr:rowOff>
    </xdr:to>
    <xdr:sp>
      <xdr:nvSpPr>
        <xdr:cNvPr id="1" name="テキスト ボックス 1"/>
        <xdr:cNvSpPr txBox="1">
          <a:spLocks noChangeArrowheads="1"/>
        </xdr:cNvSpPr>
      </xdr:nvSpPr>
      <xdr:spPr>
        <a:xfrm>
          <a:off x="38100" y="17173575"/>
          <a:ext cx="12668250" cy="1752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本シートの使用にあたっては、以下の注意事項を確認し、承諾したものとみなします</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「二重枠」に囲まれたセルに地中熱ヒートポンプシステムの諸元を入力することで、自動計算により地中熱交換器の採熱・放熱能力を反映した「タイプ」を確認することができます。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は、地中熱ヒートポンプシステムの諸元を確認できる図面資料等と揃えてまとめて提出することで、審査の簡略化を図ることを意図して作成しています。算定結果の正しさを保証するものではありませんので、使用者の責任において使用してくださ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本シートは、「</a:t>
          </a:r>
          <a:r>
            <a:rPr lang="en-US" cap="none" sz="1100" b="0" i="0" u="none" baseline="0">
              <a:solidFill>
                <a:srgbClr val="000000"/>
              </a:solidFill>
              <a:latin typeface="Times New Roman"/>
              <a:ea typeface="Times New Roman"/>
              <a:cs typeface="Times New Roman"/>
            </a:rPr>
            <a:t>3</a:t>
          </a:r>
          <a:r>
            <a:rPr lang="en-US" cap="none" sz="1100" b="0" i="0" u="none" baseline="0">
              <a:solidFill>
                <a:srgbClr val="000000"/>
              </a:solidFill>
              <a:latin typeface="ＭＳ Ｐ明朝"/>
              <a:ea typeface="ＭＳ Ｐ明朝"/>
              <a:cs typeface="ＭＳ Ｐ明朝"/>
            </a:rPr>
            <a:t>種類」までの異なる熱交換部位で構成された地中熱交換器まで扱うことができます。「</a:t>
          </a:r>
          <a:r>
            <a:rPr lang="en-US" cap="none" sz="1100" b="0" i="0" u="none" baseline="0">
              <a:solidFill>
                <a:srgbClr val="000000"/>
              </a:solidFill>
              <a:latin typeface="Times New Roman"/>
              <a:ea typeface="Times New Roman"/>
              <a:cs typeface="Times New Roman"/>
            </a:rPr>
            <a:t>4</a:t>
          </a:r>
          <a:r>
            <a:rPr lang="en-US" cap="none" sz="1100" b="0" i="0" u="none" baseline="0">
              <a:solidFill>
                <a:srgbClr val="000000"/>
              </a:solidFill>
              <a:latin typeface="ＭＳ Ｐ明朝"/>
              <a:ea typeface="ＭＳ Ｐ明朝"/>
              <a:cs typeface="ＭＳ Ｐ明朝"/>
            </a:rPr>
            <a:t>種類」以上の場合は本シートを複数枚使用する等で対応してください。</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入力する数値の桁数は、右側の注意事項を確認して入力してください。指定の桁数を超えて入力しても、表示および計算式には反映されないようになっています。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表示されている数式等の記号については、</a:t>
          </a:r>
          <a:r>
            <a:rPr lang="en-US" cap="none" sz="1100" b="0" i="0" u="none" baseline="0">
              <a:solidFill>
                <a:srgbClr val="000000"/>
              </a:solidFill>
              <a:latin typeface="Times New Roman"/>
              <a:ea typeface="Times New Roman"/>
              <a:cs typeface="Times New Roman"/>
            </a:rPr>
            <a:t>Excel</a:t>
          </a:r>
          <a:r>
            <a:rPr lang="en-US" cap="none" sz="1100" b="0" i="0" u="none" baseline="0">
              <a:solidFill>
                <a:srgbClr val="000000"/>
              </a:solidFill>
              <a:latin typeface="ＭＳ Ｐ明朝"/>
              <a:ea typeface="ＭＳ Ｐ明朝"/>
              <a:cs typeface="ＭＳ Ｐ明朝"/>
            </a:rPr>
            <a:t>の表記上の制限により、下付上付、添え字等が計算仕様書と異なる表記となっている場合があります。</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Ｐ明朝"/>
              <a:ea typeface="ＭＳ Ｐ明朝"/>
              <a:cs typeface="ＭＳ Ｐ明朝"/>
            </a:rPr>
            <a:t>本シートの使用にあたり操作が不要なセルについては、誤操作を防止するために「ロック」をかけています。ロックは「</a:t>
          </a:r>
          <a:r>
            <a:rPr lang="en-US" cap="none" sz="1100" b="0" i="0" u="none" baseline="0">
              <a:solidFill>
                <a:srgbClr val="000000"/>
              </a:solidFill>
              <a:latin typeface="Times New Roman"/>
              <a:ea typeface="Times New Roman"/>
              <a:cs typeface="Times New Roman"/>
            </a:rPr>
            <a:t>gshp2020</a:t>
          </a:r>
          <a:r>
            <a:rPr lang="en-US" cap="none" sz="1100" b="0" i="0" u="none" baseline="0">
              <a:solidFill>
                <a:srgbClr val="000000"/>
              </a:solidFill>
              <a:latin typeface="ＭＳ Ｐ明朝"/>
              <a:ea typeface="ＭＳ Ｐ明朝"/>
              <a:cs typeface="ＭＳ Ｐ明朝"/>
            </a:rPr>
            <a:t>」で解除できます。解除後にセル内の数式を変更しますと正しい計算ができなくなることがありますので、ご注意ください。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97"/>
  <sheetViews>
    <sheetView tabSelected="1" view="pageBreakPreview" zoomScale="78" zoomScaleNormal="112" zoomScaleSheetLayoutView="78" workbookViewId="0" topLeftCell="A1">
      <selection activeCell="A1" sqref="A1"/>
    </sheetView>
  </sheetViews>
  <sheetFormatPr defaultColWidth="13.00390625" defaultRowHeight="13.5"/>
  <cols>
    <col min="1" max="1" width="1.4921875" style="0" customWidth="1"/>
    <col min="2" max="2" width="141.00390625" style="56" customWidth="1"/>
    <col min="3" max="3" width="1.4921875" style="0" customWidth="1"/>
  </cols>
  <sheetData>
    <row r="1" spans="1:3" ht="36" customHeight="1">
      <c r="A1" s="58"/>
      <c r="B1" s="59" t="str">
        <f ca="1">"【"&amp;INDIRECT(ADDRESS(ROW('地中熱交換器タイプ確認シート'!$I$2),COLUMN('地中熱交換器タイプ確認シート'!$I$2),1,TRUE,'地中熱交換器タイプ確認シート'!$I$3))&amp;"用】 地中熱交換器タイプ確認シート(Ver.3.1)　使い方（2020/4）"</f>
        <v>【住宅用】 地中熱交換器タイプ確認シート(Ver.3.1)　使い方（2020/4）</v>
      </c>
      <c r="C1" s="60"/>
    </row>
    <row r="2" spans="1:3" ht="16.5">
      <c r="A2" s="61"/>
      <c r="B2" s="62"/>
      <c r="C2" s="63"/>
    </row>
    <row r="3" spans="1:3" ht="24" customHeight="1">
      <c r="A3" s="61"/>
      <c r="B3" s="64" t="s">
        <v>47</v>
      </c>
      <c r="C3" s="63"/>
    </row>
    <row r="4" spans="1:3" ht="6" customHeight="1">
      <c r="A4" s="61"/>
      <c r="B4" s="62"/>
      <c r="C4" s="63"/>
    </row>
    <row r="5" spans="1:3" ht="69.75" customHeight="1">
      <c r="A5" s="61"/>
      <c r="B5" s="62" t="str">
        <f ca="1">"　地中熱交換器タイプ確認シート(以下、本シート)は、"&amp;IF(INDIRECT(ADDRESS(ROW('地中熱交換器タイプ確認シート'!$I$2),COLUMN('地中熱交換器タイプ確認シート'!$I$2),1,TRUE,'地中熱交換器タイプ確認シート'!$I$3))="住宅","「住宅に関する省エネルギー基準に準拠したプログラム」","「エネルギー消費性能計算プログラム(非住宅版)」「モデル建物法入力支援ツール」")&amp;"において地中熱ヒートポンプシステムの評価を行うにあたり必要となる、地中熱交換器の「タイプ」を簡便に確認可能とすることを目的として作成しました。本シートに地中熱ヒートポンプシステムの諸元を入力することで、自動計算により地中熱交換器の採放熱能力を反映した「タイプ」を判断することができます。"</f>
        <v>　地中熱交換器タイプ確認シート(以下、本シート)は、「住宅に関する省エネルギー基準に準拠したプログラム」において地中熱ヒートポンプシステムの評価を行うにあたり必要となる、地中熱交換器の「タイプ」を簡便に確認可能とすることを目的として作成しました。本シートに地中熱ヒートポンプシステムの諸元を入力することで、自動計算により地中熱交換器の採放熱能力を反映した「タイプ」を判断することができます。</v>
      </c>
      <c r="C5" s="63"/>
    </row>
    <row r="6" spans="1:3" ht="99">
      <c r="A6" s="61"/>
      <c r="B6" s="62" t="s">
        <v>148</v>
      </c>
      <c r="C6" s="63"/>
    </row>
    <row r="7" spans="1:3" ht="16.5">
      <c r="A7" s="61"/>
      <c r="B7" s="62"/>
      <c r="C7" s="63"/>
    </row>
    <row r="8" spans="1:3" ht="24" customHeight="1">
      <c r="A8" s="61"/>
      <c r="B8" s="64" t="s">
        <v>96</v>
      </c>
      <c r="C8" s="63"/>
    </row>
    <row r="9" spans="1:3" ht="6" customHeight="1">
      <c r="A9" s="61"/>
      <c r="B9" s="62"/>
      <c r="C9" s="63"/>
    </row>
    <row r="10" spans="1:3" ht="51" customHeight="1">
      <c r="A10" s="61"/>
      <c r="B10" s="62" t="s">
        <v>97</v>
      </c>
      <c r="C10" s="63"/>
    </row>
    <row r="11" spans="1:3" ht="100.5" customHeight="1">
      <c r="A11" s="61"/>
      <c r="B11" s="62" t="s">
        <v>50</v>
      </c>
      <c r="C11" s="63"/>
    </row>
    <row r="12" spans="1:3" ht="34.5" customHeight="1">
      <c r="A12" s="61"/>
      <c r="B12" s="62" t="s">
        <v>98</v>
      </c>
      <c r="C12" s="63"/>
    </row>
    <row r="13" spans="1:3" ht="34.5" customHeight="1">
      <c r="A13" s="61"/>
      <c r="B13" s="62" t="s">
        <v>51</v>
      </c>
      <c r="C13" s="63"/>
    </row>
    <row r="14" spans="1:3" ht="34.5" customHeight="1">
      <c r="A14" s="61"/>
      <c r="B14" s="62" t="s">
        <v>52</v>
      </c>
      <c r="C14" s="63"/>
    </row>
    <row r="15" spans="1:3" ht="16.5">
      <c r="A15" s="61"/>
      <c r="B15" s="62"/>
      <c r="C15" s="63"/>
    </row>
    <row r="16" spans="1:3" ht="24" customHeight="1">
      <c r="A16" s="61"/>
      <c r="B16" s="64" t="s">
        <v>48</v>
      </c>
      <c r="C16" s="63"/>
    </row>
    <row r="17" spans="1:3" ht="58.5" customHeight="1">
      <c r="A17" s="61"/>
      <c r="B17" s="62" t="str">
        <f ca="1">"　建築研究所ホームページで公開している"&amp;IF(INDIRECT(ADDRESS(ROW('地中熱交換器タイプ確認シート'!$I$2),COLUMN('地中熱交換器タイプ確認シート'!$I$2),1,TRUE,'地中熱交換器タイプ確認シート'!$I$3))="住宅","「平成28年省エネルギー基準に準拠したエネルギー消費性能の評価に関する技術情報(住宅)」で「2.エネルギー消費性能の算定方法」の「第四章 暖冷房設備」「第七節 温水暖房」「付録O 地中熱ヒートポンプ温水暖房機の熱交換器タイプの決定方法」","「地中熱ヒートポンプシステムの熱源水温度計算方法」の「6. 評価のために必要な情報」")&amp;"を確認し、図面等の資料から入力する情報を整理してください。"</f>
        <v>　建築研究所ホームページで公開している「平成28年省エネルギー基準に準拠したエネルギー消費性能の評価に関する技術情報(住宅)」で「2.エネルギー消費性能の算定方法」の「第四章 暖冷房設備」「第七節 温水暖房」「付録O 地中熱ヒートポンプ温水暖房機の熱交換器タイプの決定方法」を確認し、図面等の資料から入力する情報を整理してください。</v>
      </c>
      <c r="C17" s="63"/>
    </row>
    <row r="18" spans="1:3" ht="16.5">
      <c r="A18" s="61"/>
      <c r="B18" s="62"/>
      <c r="C18" s="63"/>
    </row>
    <row r="19" spans="1:3" ht="24" customHeight="1">
      <c r="A19" s="61"/>
      <c r="B19" s="64" t="s">
        <v>49</v>
      </c>
      <c r="C19" s="63"/>
    </row>
    <row r="20" spans="1:3" ht="49.5">
      <c r="A20" s="61"/>
      <c r="B20" s="62" t="s">
        <v>53</v>
      </c>
      <c r="C20" s="63"/>
    </row>
    <row r="21" spans="1:3" ht="25.5" customHeight="1">
      <c r="A21" s="61"/>
      <c r="B21" s="62" t="s">
        <v>56</v>
      </c>
      <c r="C21" s="63"/>
    </row>
    <row r="22" spans="1:3" ht="9" customHeight="1">
      <c r="A22" s="61"/>
      <c r="B22" s="62"/>
      <c r="C22" s="63"/>
    </row>
    <row r="23" spans="1:3" ht="51.75" customHeight="1">
      <c r="A23" s="61"/>
      <c r="B23" s="62" t="str">
        <f ca="1">"① 本シート表題。"&amp;IF(INDIRECT(ADDRESS(ROW('地中熱交換器タイプ確認シート'!$I$2),COLUMN('地中熱交換器タイプ確認シート'!$I$2),1,TRUE,'地中熱交換器タイプ確認シート'!$I$3))="住宅","「住宅に関する省エネルギー基準に準拠したプログラム」で使用する場合には、冒頭に「住宅用」と記載されているシートを使用する。住宅用のVersionは3.0以降。","「エネルギー消費性能計算プログラム(非住宅版)」「モデル建物法入力支援ツール」で使用する場合には、冒頭に「非住宅建築物用」と記載されているシートを使用する。非住宅建築物については計算方法に変更がないためVer.2.0～3.1がすべて使用可能。")&amp;""</f>
        <v>① 本シート表題。「住宅に関する省エネルギー基準に準拠したプログラム」で使用する場合には、冒頭に「住宅用」と記載されているシートを使用する。住宅用のVersionは3.0以降。</v>
      </c>
      <c r="C23" s="63"/>
    </row>
    <row r="24" spans="1:3" ht="16.5">
      <c r="A24" s="61"/>
      <c r="B24" s="62" t="s">
        <v>54</v>
      </c>
      <c r="C24" s="63"/>
    </row>
    <row r="25" spans="1:3" ht="16.5">
      <c r="A25" s="61"/>
      <c r="B25" s="62" t="s">
        <v>55</v>
      </c>
      <c r="C25" s="63"/>
    </row>
    <row r="26" spans="1:3" ht="16.5">
      <c r="A26" s="61"/>
      <c r="B26" s="62" t="str">
        <f ca="1">"④ "&amp;IF(INDIRECT(ADDRESS(ROW('地中熱交換器タイプ確認シート'!$I$2),COLUMN('地中熱交換器タイプ確認シート'!$I$2),1,TRUE,'地中熱交換器タイプ確認シート'!$I$3))="住宅","地中熱ヒートポンプシステムで暖冷房する室を入力する（参考）。","地中熱ヒートポンプシステムの熱源・空調系統名を記入する。")</f>
        <v>④ 地中熱ヒートポンプシステムで暖冷房する室を入力する（参考）。</v>
      </c>
      <c r="C26" s="63"/>
    </row>
    <row r="27" spans="1:3" ht="16.5">
      <c r="A27" s="61"/>
      <c r="B27" s="62" t="s">
        <v>57</v>
      </c>
      <c r="C27" s="63"/>
    </row>
    <row r="28" spans="1:3" ht="57" customHeight="1">
      <c r="A28" s="61"/>
      <c r="B28" s="62" t="s">
        <v>149</v>
      </c>
      <c r="C28" s="63"/>
    </row>
    <row r="29" spans="1:3" ht="16.5">
      <c r="A29" s="61"/>
      <c r="B29" s="62" t="s">
        <v>58</v>
      </c>
      <c r="C29" s="63"/>
    </row>
    <row r="30" spans="1:3" ht="16.5">
      <c r="A30" s="61"/>
      <c r="B30" s="62" t="s">
        <v>59</v>
      </c>
      <c r="C30" s="63"/>
    </row>
    <row r="31" spans="1:3" ht="36.75">
      <c r="A31" s="61"/>
      <c r="B31" s="62" t="s">
        <v>119</v>
      </c>
      <c r="C31" s="63"/>
    </row>
    <row r="32" spans="1:3" ht="20.25">
      <c r="A32" s="61"/>
      <c r="B32" s="62" t="s">
        <v>92</v>
      </c>
      <c r="C32" s="63"/>
    </row>
    <row r="33" spans="1:3" ht="34.5" customHeight="1">
      <c r="A33" s="61"/>
      <c r="B33" s="62" t="s">
        <v>151</v>
      </c>
      <c r="C33" s="63"/>
    </row>
    <row r="34" spans="1:3" ht="20.25">
      <c r="A34" s="61"/>
      <c r="B34" s="62" t="s">
        <v>120</v>
      </c>
      <c r="C34" s="63"/>
    </row>
    <row r="35" spans="1:3" ht="20.25" customHeight="1">
      <c r="A35" s="61"/>
      <c r="B35" s="62" t="str">
        <f>"⑬"&amp;IF('地中熱交換器タイプ確認シート'!$I$2="住宅","【住宅では入力不要】","")&amp;"地中熱ヒートポンプの冷房、暖房の定格消費電力eC、eH[kW]を入力する。"</f>
        <v>⑬【住宅では入力不要】地中熱ヒートポンプの冷房、暖房の定格消費電力eC、eH[kW]を入力する。</v>
      </c>
      <c r="C35" s="63"/>
    </row>
    <row r="36" spans="1:3" ht="20.25">
      <c r="A36" s="61"/>
      <c r="B36" s="62" t="s">
        <v>121</v>
      </c>
      <c r="C36" s="63"/>
    </row>
    <row r="37" spans="1:3" ht="20.25">
      <c r="A37" s="61"/>
      <c r="B37" s="62" t="s">
        <v>122</v>
      </c>
      <c r="C37" s="63"/>
    </row>
    <row r="38" spans="1:3" ht="20.25">
      <c r="A38" s="61"/>
      <c r="B38" s="62" t="s">
        <v>123</v>
      </c>
      <c r="C38" s="63"/>
    </row>
    <row r="39" spans="1:3" ht="36.75">
      <c r="A39" s="61"/>
      <c r="B39" s="62" t="s">
        <v>124</v>
      </c>
      <c r="C39" s="63"/>
    </row>
    <row r="40" spans="1:3" ht="16.5">
      <c r="A40" s="61"/>
      <c r="B40" s="62" t="s">
        <v>150</v>
      </c>
      <c r="C40" s="63"/>
    </row>
    <row r="41" spans="1:3" ht="16.5">
      <c r="A41" s="61"/>
      <c r="B41" s="62" t="s">
        <v>125</v>
      </c>
      <c r="C41" s="63"/>
    </row>
    <row r="42" spans="1:3" ht="16.5">
      <c r="A42" s="61"/>
      <c r="B42" s="62"/>
      <c r="C42" s="63"/>
    </row>
    <row r="43" spans="1:3" ht="16.5">
      <c r="A43" s="61" t="s">
        <v>60</v>
      </c>
      <c r="B43" s="65"/>
      <c r="C43" s="63"/>
    </row>
    <row r="44" spans="1:3" ht="18.75" thickBot="1">
      <c r="A44" s="66"/>
      <c r="B44" s="67"/>
      <c r="C44" s="68"/>
    </row>
    <row r="45" spans="1:3" ht="18">
      <c r="A45" s="57"/>
      <c r="B45" s="55"/>
      <c r="C45" s="57"/>
    </row>
    <row r="46" spans="1:3" ht="18">
      <c r="A46" s="57"/>
      <c r="B46" s="55"/>
      <c r="C46" s="57"/>
    </row>
    <row r="47" spans="1:3" ht="18">
      <c r="A47" s="57"/>
      <c r="B47" s="55"/>
      <c r="C47" s="57"/>
    </row>
    <row r="48" spans="1:3" ht="18">
      <c r="A48" s="57"/>
      <c r="B48" s="55"/>
      <c r="C48" s="57"/>
    </row>
    <row r="49" spans="1:3" ht="18">
      <c r="A49" s="57"/>
      <c r="B49" s="55"/>
      <c r="C49" s="57"/>
    </row>
    <row r="50" spans="1:3" ht="18">
      <c r="A50" s="57"/>
      <c r="B50" s="55"/>
      <c r="C50" s="57"/>
    </row>
    <row r="51" spans="1:3" ht="18">
      <c r="A51" s="57"/>
      <c r="B51" s="55"/>
      <c r="C51" s="57"/>
    </row>
    <row r="52" spans="1:3" ht="18">
      <c r="A52" s="57"/>
      <c r="B52" s="55"/>
      <c r="C52" s="57"/>
    </row>
    <row r="53" spans="1:3" ht="18">
      <c r="A53" s="57"/>
      <c r="B53" s="55"/>
      <c r="C53" s="57"/>
    </row>
    <row r="54" spans="1:3" ht="18">
      <c r="A54" s="57"/>
      <c r="B54" s="55"/>
      <c r="C54" s="57"/>
    </row>
    <row r="55" spans="1:3" ht="18">
      <c r="A55" s="57"/>
      <c r="B55" s="55"/>
      <c r="C55" s="57"/>
    </row>
    <row r="56" spans="1:3" ht="18">
      <c r="A56" s="57"/>
      <c r="B56" s="55"/>
      <c r="C56" s="57"/>
    </row>
    <row r="57" spans="1:3" ht="18">
      <c r="A57" s="57"/>
      <c r="B57" s="55"/>
      <c r="C57" s="57"/>
    </row>
    <row r="58" spans="1:3" ht="18">
      <c r="A58" s="57"/>
      <c r="B58" s="55"/>
      <c r="C58" s="57"/>
    </row>
    <row r="59" spans="1:3" ht="18">
      <c r="A59" s="57"/>
      <c r="B59" s="55"/>
      <c r="C59" s="57"/>
    </row>
    <row r="60" spans="1:3" ht="18">
      <c r="A60" s="57"/>
      <c r="B60" s="55"/>
      <c r="C60" s="57"/>
    </row>
    <row r="61" spans="1:3" ht="18">
      <c r="A61" s="57"/>
      <c r="B61" s="55"/>
      <c r="C61" s="57"/>
    </row>
    <row r="62" spans="1:3" ht="18">
      <c r="A62" s="57"/>
      <c r="B62" s="55"/>
      <c r="C62" s="57"/>
    </row>
    <row r="63" spans="1:3" ht="18">
      <c r="A63" s="57"/>
      <c r="B63" s="55"/>
      <c r="C63" s="57"/>
    </row>
    <row r="64" spans="1:3" ht="18">
      <c r="A64" s="57"/>
      <c r="B64" s="55"/>
      <c r="C64" s="57"/>
    </row>
    <row r="65" spans="1:3" ht="18">
      <c r="A65" s="57"/>
      <c r="B65" s="55"/>
      <c r="C65" s="57"/>
    </row>
    <row r="66" spans="1:3" ht="18">
      <c r="A66" s="57"/>
      <c r="B66" s="55"/>
      <c r="C66" s="57"/>
    </row>
    <row r="67" spans="1:3" ht="18">
      <c r="A67" s="57"/>
      <c r="B67" s="55"/>
      <c r="C67" s="57"/>
    </row>
    <row r="68" spans="1:3" ht="18">
      <c r="A68" s="57"/>
      <c r="B68" s="55"/>
      <c r="C68" s="57"/>
    </row>
    <row r="69" spans="1:3" ht="18">
      <c r="A69" s="57"/>
      <c r="B69" s="55"/>
      <c r="C69" s="57"/>
    </row>
    <row r="70" spans="1:3" ht="18">
      <c r="A70" s="57"/>
      <c r="B70" s="55"/>
      <c r="C70" s="57"/>
    </row>
    <row r="71" spans="1:3" ht="18">
      <c r="A71" s="57"/>
      <c r="B71" s="55"/>
      <c r="C71" s="57"/>
    </row>
    <row r="72" spans="1:3" ht="18">
      <c r="A72" s="57"/>
      <c r="B72" s="55"/>
      <c r="C72" s="57"/>
    </row>
    <row r="73" spans="1:3" ht="18">
      <c r="A73" s="57"/>
      <c r="B73" s="55"/>
      <c r="C73" s="57"/>
    </row>
    <row r="74" spans="1:3" ht="18">
      <c r="A74" s="57"/>
      <c r="B74" s="55"/>
      <c r="C74" s="57"/>
    </row>
    <row r="75" spans="1:3" ht="18">
      <c r="A75" s="57"/>
      <c r="B75" s="55"/>
      <c r="C75" s="57"/>
    </row>
    <row r="76" spans="1:3" ht="18">
      <c r="A76" s="57"/>
      <c r="B76" s="55"/>
      <c r="C76" s="57"/>
    </row>
    <row r="77" spans="1:3" ht="18">
      <c r="A77" s="57"/>
      <c r="B77" s="55"/>
      <c r="C77" s="57"/>
    </row>
    <row r="78" spans="1:3" ht="18">
      <c r="A78" s="57"/>
      <c r="B78" s="55"/>
      <c r="C78" s="57"/>
    </row>
    <row r="79" spans="1:3" ht="18">
      <c r="A79" s="57"/>
      <c r="B79" s="55"/>
      <c r="C79" s="57"/>
    </row>
    <row r="80" spans="1:3" ht="18">
      <c r="A80" s="57"/>
      <c r="B80" s="55"/>
      <c r="C80" s="57"/>
    </row>
    <row r="81" spans="1:3" ht="18">
      <c r="A81" s="57"/>
      <c r="B81" s="55"/>
      <c r="C81" s="57"/>
    </row>
    <row r="82" spans="1:3" ht="18">
      <c r="A82" s="57"/>
      <c r="B82" s="55"/>
      <c r="C82" s="57"/>
    </row>
    <row r="83" spans="1:3" ht="18">
      <c r="A83" s="57"/>
      <c r="B83" s="55"/>
      <c r="C83" s="57"/>
    </row>
    <row r="84" spans="1:3" ht="18">
      <c r="A84" s="57"/>
      <c r="B84" s="55"/>
      <c r="C84" s="57"/>
    </row>
    <row r="85" spans="1:3" ht="18">
      <c r="A85" s="57"/>
      <c r="B85" s="55"/>
      <c r="C85" s="57"/>
    </row>
    <row r="86" spans="1:3" ht="18">
      <c r="A86" s="57"/>
      <c r="B86" s="55"/>
      <c r="C86" s="57"/>
    </row>
    <row r="87" spans="1:3" ht="18">
      <c r="A87" s="57"/>
      <c r="B87" s="55"/>
      <c r="C87" s="57"/>
    </row>
    <row r="88" spans="1:3" ht="18">
      <c r="A88" s="57"/>
      <c r="B88" s="55"/>
      <c r="C88" s="57"/>
    </row>
    <row r="89" spans="1:3" ht="18">
      <c r="A89" s="57"/>
      <c r="B89" s="55"/>
      <c r="C89" s="57"/>
    </row>
    <row r="90" spans="1:3" ht="18">
      <c r="A90" s="57"/>
      <c r="B90" s="55"/>
      <c r="C90" s="57"/>
    </row>
    <row r="91" spans="1:3" ht="18">
      <c r="A91" s="57"/>
      <c r="B91" s="55"/>
      <c r="C91" s="57"/>
    </row>
    <row r="92" spans="1:3" ht="18">
      <c r="A92" s="57"/>
      <c r="B92" s="55"/>
      <c r="C92" s="57"/>
    </row>
    <row r="93" spans="1:3" ht="18">
      <c r="A93" s="57"/>
      <c r="B93" s="55"/>
      <c r="C93" s="57"/>
    </row>
    <row r="94" spans="1:3" ht="18">
      <c r="A94" s="57"/>
      <c r="B94" s="55"/>
      <c r="C94" s="57"/>
    </row>
    <row r="95" spans="1:3" ht="18">
      <c r="A95" s="57"/>
      <c r="B95" s="55"/>
      <c r="C95" s="57"/>
    </row>
    <row r="96" spans="1:3" ht="18">
      <c r="A96" s="57"/>
      <c r="B96" s="55"/>
      <c r="C96" s="57"/>
    </row>
    <row r="97" spans="1:3" ht="18">
      <c r="A97" s="57"/>
      <c r="B97" s="69"/>
      <c r="C97" s="57"/>
    </row>
  </sheetData>
  <sheetProtection/>
  <printOptions/>
  <pageMargins left="0.75" right="0.75" top="1" bottom="1" header="0.3" footer="0.3"/>
  <pageSetup horizontalDpi="1200" verticalDpi="1200" orientation="portrait" paperSize="9" scale="56" r:id="rId2"/>
  <rowBreaks count="1" manualBreakCount="1">
    <brk id="44" max="255"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zoomScaleSheetLayoutView="90" workbookViewId="0" topLeftCell="A1">
      <selection activeCell="A1" sqref="A1"/>
    </sheetView>
  </sheetViews>
  <sheetFormatPr defaultColWidth="8.875" defaultRowHeight="13.5"/>
  <cols>
    <col min="1" max="1" width="0.5" style="9" customWidth="1"/>
    <col min="2" max="2" width="39.875" style="9" customWidth="1"/>
    <col min="3" max="3" width="14.00390625" style="9" customWidth="1"/>
    <col min="4" max="6" width="17.50390625" style="9" customWidth="1"/>
    <col min="7" max="7" width="59.875" style="9" customWidth="1"/>
    <col min="8" max="8" width="0.875" style="9" customWidth="1"/>
    <col min="9" max="9" width="10.125" style="113" bestFit="1" customWidth="1"/>
    <col min="10" max="10" width="9.375" style="102" bestFit="1"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75390625" style="102" bestFit="1" customWidth="1"/>
    <col min="22" max="22" width="17.625" style="102" customWidth="1"/>
    <col min="23" max="24" width="22.125" style="102" bestFit="1" customWidth="1"/>
    <col min="25" max="25" width="9.50390625" style="102" bestFit="1" customWidth="1"/>
    <col min="26" max="26" width="9.50390625" style="102" customWidth="1"/>
    <col min="27" max="27" width="17.125" style="102" bestFit="1" customWidth="1"/>
    <col min="28" max="29" width="8.875" style="102" customWidth="1"/>
    <col min="30" max="30" width="8.875" style="103" customWidth="1"/>
    <col min="31" max="16384" width="8.875" style="9" customWidth="1"/>
  </cols>
  <sheetData>
    <row r="1" spans="1:31" ht="13.5" thickBot="1">
      <c r="A1" s="4"/>
      <c r="B1" s="4"/>
      <c r="C1" s="4"/>
      <c r="D1" s="5"/>
      <c r="E1" s="37"/>
      <c r="F1" s="37"/>
      <c r="G1" s="3"/>
      <c r="H1" s="3"/>
      <c r="I1" s="89"/>
      <c r="J1" s="90"/>
      <c r="K1" s="90"/>
      <c r="L1" s="90"/>
      <c r="M1" s="90"/>
      <c r="N1" s="90"/>
      <c r="O1" s="91"/>
      <c r="P1" s="91" t="s">
        <v>15</v>
      </c>
      <c r="Q1" s="91" t="s">
        <v>24</v>
      </c>
      <c r="R1" s="91" t="s">
        <v>28</v>
      </c>
      <c r="S1" s="91" t="s">
        <v>79</v>
      </c>
      <c r="T1" s="91" t="s">
        <v>80</v>
      </c>
      <c r="U1" s="91" t="s">
        <v>6</v>
      </c>
      <c r="V1" s="91" t="s">
        <v>63</v>
      </c>
      <c r="W1" s="91" t="s">
        <v>86</v>
      </c>
      <c r="X1" s="91" t="s">
        <v>87</v>
      </c>
      <c r="Y1" s="91" t="s">
        <v>5</v>
      </c>
      <c r="Z1" s="91" t="s">
        <v>64</v>
      </c>
      <c r="AA1" s="91" t="s">
        <v>12</v>
      </c>
      <c r="AB1" s="91"/>
      <c r="AC1" s="106"/>
      <c r="AD1" s="107"/>
      <c r="AE1" s="107"/>
    </row>
    <row r="2" spans="1:31" ht="27" customHeight="1" thickTop="1">
      <c r="A2" s="4"/>
      <c r="B2" s="108" t="str">
        <f>"【"&amp;$I$2&amp;"用】 地中熱交換器タイプ確認シート(Ver.3.1)"</f>
        <v>【住宅用】 地中熱交換器タイプ確認シート(Ver.3.1)</v>
      </c>
      <c r="C2" s="34"/>
      <c r="D2" s="1"/>
      <c r="E2" s="1"/>
      <c r="F2" s="1" t="s">
        <v>1</v>
      </c>
      <c r="G2" s="54"/>
      <c r="H2" s="109"/>
      <c r="I2" s="93" t="s">
        <v>132</v>
      </c>
      <c r="J2" s="94"/>
      <c r="K2" s="94"/>
      <c r="L2" s="95"/>
      <c r="M2" s="95"/>
      <c r="N2" s="95"/>
      <c r="O2" s="94"/>
      <c r="P2" s="94"/>
      <c r="Q2" s="94"/>
      <c r="R2" s="94"/>
      <c r="S2" s="94"/>
      <c r="T2" s="94"/>
      <c r="U2" s="94"/>
      <c r="V2" s="94"/>
      <c r="W2" s="94"/>
      <c r="X2" s="94"/>
      <c r="Y2" s="94"/>
      <c r="Z2" s="94"/>
      <c r="AA2" s="94"/>
      <c r="AB2" s="94"/>
      <c r="AC2" s="110"/>
      <c r="AD2" s="111"/>
      <c r="AE2" s="107"/>
    </row>
    <row r="3" spans="1:31" ht="27" customHeight="1" thickBot="1">
      <c r="A3" s="4"/>
      <c r="C3" s="4"/>
      <c r="D3" s="1"/>
      <c r="E3" s="1"/>
      <c r="F3" s="1" t="s">
        <v>0</v>
      </c>
      <c r="G3" s="128"/>
      <c r="H3" s="109"/>
      <c r="I3" s="129" t="str">
        <f ca="1">RIGHT(CELL("filename",I3),LEN(CELL("filename",I3))-FIND("]",CELL("filename",I3)))</f>
        <v>地中熱交換器タイプ確認シート</v>
      </c>
      <c r="J3" s="94"/>
      <c r="K3" s="94"/>
      <c r="L3" s="95"/>
      <c r="M3" s="95"/>
      <c r="N3" s="95"/>
      <c r="O3" s="94"/>
      <c r="P3" s="94" t="s">
        <v>16</v>
      </c>
      <c r="Q3" s="94" t="s">
        <v>25</v>
      </c>
      <c r="R3" s="94" t="s">
        <v>4</v>
      </c>
      <c r="S3" s="97" t="s">
        <v>82</v>
      </c>
      <c r="T3" s="94" t="s">
        <v>81</v>
      </c>
      <c r="U3" s="94">
        <v>1.3957</v>
      </c>
      <c r="V3" s="94">
        <v>0</v>
      </c>
      <c r="W3" s="97" t="s">
        <v>88</v>
      </c>
      <c r="X3" s="94"/>
      <c r="Y3" s="94">
        <v>-0.481</v>
      </c>
      <c r="Z3" s="94">
        <v>0</v>
      </c>
      <c r="AA3" s="94">
        <v>1.2</v>
      </c>
      <c r="AB3" s="94"/>
      <c r="AC3" s="110"/>
      <c r="AD3" s="111"/>
      <c r="AE3" s="107"/>
    </row>
    <row r="4" spans="2:31" ht="13.5" thickTop="1">
      <c r="B4" s="11"/>
      <c r="C4" s="11"/>
      <c r="D4" s="11"/>
      <c r="E4" s="11"/>
      <c r="F4" s="11"/>
      <c r="G4" s="11"/>
      <c r="I4" s="93"/>
      <c r="J4" s="94"/>
      <c r="K4" s="94"/>
      <c r="L4" s="94"/>
      <c r="M4" s="94"/>
      <c r="N4" s="94"/>
      <c r="O4" s="94"/>
      <c r="P4" s="94" t="s">
        <v>17</v>
      </c>
      <c r="Q4" s="94" t="s">
        <v>26</v>
      </c>
      <c r="R4" s="94" t="s">
        <v>29</v>
      </c>
      <c r="S4" s="94" t="s">
        <v>83</v>
      </c>
      <c r="T4" s="94" t="s">
        <v>81</v>
      </c>
      <c r="U4" s="94">
        <v>1.81441</v>
      </c>
      <c r="V4" s="94">
        <v>0</v>
      </c>
      <c r="W4" s="97" t="s">
        <v>88</v>
      </c>
      <c r="X4" s="94"/>
      <c r="Y4" s="94">
        <v>-0.481</v>
      </c>
      <c r="Z4" s="94">
        <v>0</v>
      </c>
      <c r="AA4" s="94">
        <v>1.2</v>
      </c>
      <c r="AB4" s="94"/>
      <c r="AC4" s="110"/>
      <c r="AD4" s="111"/>
      <c r="AE4" s="107"/>
    </row>
    <row r="5" spans="1:31" ht="18" customHeight="1" thickBot="1">
      <c r="A5" s="12"/>
      <c r="B5" s="13" t="s">
        <v>46</v>
      </c>
      <c r="C5" s="14"/>
      <c r="D5" s="13" t="str">
        <f>IF($I$2="非住宅建築物","熱源・空調系統名：","")&amp;IF($I$2="住宅","暖冷房する室等（参考入力）：","")</f>
        <v>暖冷房する室等（参考入力）：</v>
      </c>
      <c r="E5" s="38"/>
      <c r="F5" s="38"/>
      <c r="G5" s="15"/>
      <c r="I5" s="93"/>
      <c r="J5" s="94"/>
      <c r="K5" s="94"/>
      <c r="L5" s="94"/>
      <c r="M5" s="94"/>
      <c r="N5" s="94"/>
      <c r="O5" s="94"/>
      <c r="P5" s="94" t="s">
        <v>18</v>
      </c>
      <c r="Q5" s="94" t="s">
        <v>27</v>
      </c>
      <c r="R5" s="94" t="s">
        <v>30</v>
      </c>
      <c r="S5" s="94" t="s">
        <v>84</v>
      </c>
      <c r="T5" s="94" t="s">
        <v>81</v>
      </c>
      <c r="U5" s="94">
        <v>1.6938870000000001</v>
      </c>
      <c r="V5" s="94">
        <v>0</v>
      </c>
      <c r="W5" s="97" t="s">
        <v>89</v>
      </c>
      <c r="X5" s="94"/>
      <c r="Y5" s="94">
        <v>-0.439</v>
      </c>
      <c r="Z5" s="94">
        <v>0</v>
      </c>
      <c r="AA5" s="94">
        <v>0.7</v>
      </c>
      <c r="AB5" s="94"/>
      <c r="AC5" s="110"/>
      <c r="AD5" s="111"/>
      <c r="AE5" s="107"/>
    </row>
    <row r="6" spans="1:31" ht="27" customHeight="1" thickBot="1" thickTop="1">
      <c r="A6" s="12"/>
      <c r="B6" s="147"/>
      <c r="C6" s="149"/>
      <c r="D6" s="147"/>
      <c r="E6" s="148"/>
      <c r="F6" s="148"/>
      <c r="G6" s="149"/>
      <c r="H6" s="109"/>
      <c r="I6" s="93"/>
      <c r="J6" s="94"/>
      <c r="K6" s="94"/>
      <c r="L6" s="94"/>
      <c r="M6" s="94"/>
      <c r="N6" s="94"/>
      <c r="O6" s="94"/>
      <c r="P6" s="94" t="s">
        <v>19</v>
      </c>
      <c r="Q6" s="94" t="s">
        <v>113</v>
      </c>
      <c r="R6" s="94"/>
      <c r="S6" s="97" t="s">
        <v>99</v>
      </c>
      <c r="T6" s="97" t="s">
        <v>104</v>
      </c>
      <c r="U6" s="94">
        <v>1.2344</v>
      </c>
      <c r="V6" s="94">
        <v>-0.5953</v>
      </c>
      <c r="W6" s="97" t="s">
        <v>106</v>
      </c>
      <c r="X6" s="97" t="s">
        <v>107</v>
      </c>
      <c r="Y6" s="97">
        <v>-0.2383</v>
      </c>
      <c r="Z6" s="97">
        <v>0.0475</v>
      </c>
      <c r="AA6" s="94">
        <v>1.2</v>
      </c>
      <c r="AB6" s="94"/>
      <c r="AC6" s="110"/>
      <c r="AD6" s="111"/>
      <c r="AE6" s="107"/>
    </row>
    <row r="7" spans="2:31" ht="14.25" customHeight="1" thickTop="1">
      <c r="B7" s="17"/>
      <c r="C7" s="17"/>
      <c r="D7" s="17"/>
      <c r="E7" s="17"/>
      <c r="F7" s="17"/>
      <c r="G7" s="17"/>
      <c r="H7" s="109"/>
      <c r="I7" s="93"/>
      <c r="J7" s="94"/>
      <c r="K7" s="94"/>
      <c r="L7" s="94"/>
      <c r="M7" s="94"/>
      <c r="N7" s="94"/>
      <c r="O7" s="94"/>
      <c r="P7" s="94" t="s">
        <v>20</v>
      </c>
      <c r="Q7" s="94" t="s">
        <v>114</v>
      </c>
      <c r="R7" s="94"/>
      <c r="S7" s="97" t="s">
        <v>105</v>
      </c>
      <c r="T7" s="97" t="s">
        <v>101</v>
      </c>
      <c r="U7" s="94">
        <v>1.0246</v>
      </c>
      <c r="V7" s="97">
        <v>-0.2606</v>
      </c>
      <c r="W7" s="97" t="s">
        <v>108</v>
      </c>
      <c r="X7" s="97" t="s">
        <v>109</v>
      </c>
      <c r="Y7" s="97">
        <v>-0.2943</v>
      </c>
      <c r="Z7" s="97">
        <v>0.0613</v>
      </c>
      <c r="AA7" s="94">
        <v>1.2</v>
      </c>
      <c r="AB7" s="94"/>
      <c r="AC7" s="110"/>
      <c r="AD7" s="111"/>
      <c r="AE7" s="107"/>
    </row>
    <row r="8" spans="2:31" ht="18" customHeight="1">
      <c r="B8" s="11" t="s">
        <v>3</v>
      </c>
      <c r="C8" s="11"/>
      <c r="D8" s="11"/>
      <c r="E8" s="11"/>
      <c r="F8" s="11"/>
      <c r="G8" s="11"/>
      <c r="H8" s="109"/>
      <c r="I8" s="93"/>
      <c r="J8" s="94"/>
      <c r="K8" s="94"/>
      <c r="L8" s="94"/>
      <c r="M8" s="94"/>
      <c r="N8" s="94"/>
      <c r="O8" s="94"/>
      <c r="P8" s="94" t="s">
        <v>21</v>
      </c>
      <c r="Q8" s="94" t="s">
        <v>65</v>
      </c>
      <c r="R8" s="94"/>
      <c r="S8" s="94" t="s">
        <v>85</v>
      </c>
      <c r="T8" s="97" t="s">
        <v>102</v>
      </c>
      <c r="U8" s="94">
        <v>1.6275</v>
      </c>
      <c r="V8" s="94">
        <f>-0.881</f>
        <v>-0.881</v>
      </c>
      <c r="W8" s="97" t="s">
        <v>90</v>
      </c>
      <c r="X8" s="97" t="s">
        <v>110</v>
      </c>
      <c r="Y8" s="97">
        <v>-0.6618</v>
      </c>
      <c r="Z8" s="94">
        <f>0.055</f>
        <v>0.055</v>
      </c>
      <c r="AA8" s="94">
        <v>1.2</v>
      </c>
      <c r="AB8" s="94"/>
      <c r="AC8" s="110"/>
      <c r="AD8" s="111"/>
      <c r="AE8" s="107"/>
    </row>
    <row r="9" spans="1:31" ht="18" customHeight="1" thickBot="1">
      <c r="A9" s="12"/>
      <c r="B9" s="18" t="s">
        <v>7</v>
      </c>
      <c r="C9" s="150" t="s">
        <v>62</v>
      </c>
      <c r="D9" s="151"/>
      <c r="E9" s="151"/>
      <c r="F9" s="152"/>
      <c r="G9" s="19" t="s">
        <v>31</v>
      </c>
      <c r="I9" s="98">
        <f>IF(D12="","",MATCH(D$12,$Q$1:$Q$9,0))</f>
      </c>
      <c r="J9" s="99">
        <f>IF(E12="","",MATCH(E$12,$Q$1:$Q$9,0))</f>
      </c>
      <c r="K9" s="99">
        <f>IF(F12="","",MATCH(F$12,$Q$1:$Q$9,0))</f>
      </c>
      <c r="L9" s="94"/>
      <c r="M9" s="94"/>
      <c r="N9" s="94"/>
      <c r="O9" s="94"/>
      <c r="P9" s="94" t="s">
        <v>22</v>
      </c>
      <c r="Q9" s="94" t="s">
        <v>115</v>
      </c>
      <c r="R9" s="94"/>
      <c r="S9" s="94" t="s">
        <v>100</v>
      </c>
      <c r="T9" s="97" t="s">
        <v>103</v>
      </c>
      <c r="U9" s="94">
        <v>1.9231</v>
      </c>
      <c r="V9" s="94">
        <v>-1.0518</v>
      </c>
      <c r="W9" s="97" t="s">
        <v>111</v>
      </c>
      <c r="X9" s="97" t="s">
        <v>112</v>
      </c>
      <c r="Y9" s="97">
        <v>-0.6564</v>
      </c>
      <c r="Z9" s="97">
        <v>0.2325</v>
      </c>
      <c r="AA9" s="94">
        <v>1.2</v>
      </c>
      <c r="AB9" s="94"/>
      <c r="AC9" s="110"/>
      <c r="AD9" s="111"/>
      <c r="AE9" s="107"/>
    </row>
    <row r="10" spans="1:31" ht="27" customHeight="1" thickBot="1" thickTop="1">
      <c r="A10" s="12"/>
      <c r="B10" s="35" t="s">
        <v>14</v>
      </c>
      <c r="C10" s="40" t="s">
        <v>37</v>
      </c>
      <c r="D10" s="153"/>
      <c r="E10" s="154"/>
      <c r="F10" s="155"/>
      <c r="G10" s="42" t="s">
        <v>126</v>
      </c>
      <c r="I10" s="98" t="str">
        <f>IF(OR($D$10="1地域",$D$10="2地域",$D$10="3地域",AND($I$2="住宅",$D$10="4地域")),"H","maxHC")</f>
        <v>maxHC</v>
      </c>
      <c r="J10" s="94"/>
      <c r="K10" s="94"/>
      <c r="L10" s="94"/>
      <c r="M10" s="94"/>
      <c r="N10" s="94"/>
      <c r="O10" s="94"/>
      <c r="P10" s="94" t="s">
        <v>23</v>
      </c>
      <c r="Q10" s="94"/>
      <c r="R10" s="94"/>
      <c r="S10" s="94"/>
      <c r="T10" s="94"/>
      <c r="U10" s="94"/>
      <c r="V10" s="94"/>
      <c r="W10" s="94"/>
      <c r="X10" s="94"/>
      <c r="Y10" s="94"/>
      <c r="Z10" s="94"/>
      <c r="AA10" s="94"/>
      <c r="AB10" s="94"/>
      <c r="AC10" s="110"/>
      <c r="AD10" s="111"/>
      <c r="AE10" s="107"/>
    </row>
    <row r="11" spans="1:31" ht="59.25" customHeight="1" thickBot="1" thickTop="1">
      <c r="A11" s="12"/>
      <c r="B11" s="156" t="s">
        <v>44</v>
      </c>
      <c r="C11" s="157"/>
      <c r="D11" s="50" t="s">
        <v>40</v>
      </c>
      <c r="E11" s="50" t="s">
        <v>41</v>
      </c>
      <c r="F11" s="50" t="s">
        <v>42</v>
      </c>
      <c r="G11" s="44" t="s">
        <v>127</v>
      </c>
      <c r="I11" s="98"/>
      <c r="J11" s="94"/>
      <c r="K11" s="94"/>
      <c r="L11" s="94"/>
      <c r="M11" s="94"/>
      <c r="N11" s="94"/>
      <c r="O11" s="94"/>
      <c r="P11" s="94"/>
      <c r="Q11" s="94"/>
      <c r="R11" s="94"/>
      <c r="S11" s="94"/>
      <c r="T11" s="94"/>
      <c r="U11" s="94"/>
      <c r="V11" s="94"/>
      <c r="W11" s="94"/>
      <c r="X11" s="94"/>
      <c r="Y11" s="94"/>
      <c r="Z11" s="94"/>
      <c r="AA11" s="94"/>
      <c r="AB11" s="94"/>
      <c r="AC11" s="110"/>
      <c r="AD11" s="111"/>
      <c r="AE11" s="107"/>
    </row>
    <row r="12" spans="1:31" ht="71.25" customHeight="1" thickBot="1" thickTop="1">
      <c r="A12" s="12"/>
      <c r="B12" s="35" t="s">
        <v>136</v>
      </c>
      <c r="C12" s="40" t="s">
        <v>37</v>
      </c>
      <c r="D12" s="114"/>
      <c r="E12" s="114"/>
      <c r="F12" s="115"/>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3">
        <f ca="1">IF($D$13=$R$5,INDIRECT(ADDRESS(MATCH('地中熱交換器タイプ確認シート'!$D$12,$Q$1:$Q$9,0),COLUMN($AA$1))),$D$14)</f>
        <v>0</v>
      </c>
      <c r="J12" s="94">
        <f ca="1">IF($E$13=$R$5,INDIRECT(ADDRESS(MATCH('地中熱交換器タイプ確認シート'!$E$12,$Q$1:$Q$9,0),COLUMN($AA$1))),$E$14)</f>
        <v>0</v>
      </c>
      <c r="K12" s="94">
        <f ca="1">IF($F$13=$R$5,INDIRECT(ADDRESS(MATCH('地中熱交換器タイプ確認シート'!$F$12,$Q$1:$Q$9,0),COLUMN($AA$1))),$F$14)</f>
        <v>0</v>
      </c>
      <c r="L12" s="94"/>
      <c r="M12" s="94"/>
      <c r="N12" s="94"/>
      <c r="O12" s="94"/>
      <c r="P12" s="94"/>
      <c r="Q12" s="94"/>
      <c r="R12" s="94"/>
      <c r="S12" s="94"/>
      <c r="T12" s="94"/>
      <c r="U12" s="94"/>
      <c r="V12" s="94"/>
      <c r="W12" s="94"/>
      <c r="X12" s="94"/>
      <c r="Y12" s="94"/>
      <c r="Z12" s="94"/>
      <c r="AA12" s="94"/>
      <c r="AB12" s="94"/>
      <c r="AC12" s="110"/>
      <c r="AD12" s="111"/>
      <c r="AE12" s="107"/>
    </row>
    <row r="13" spans="1:31" ht="58.5" customHeight="1" thickBot="1" thickTop="1">
      <c r="A13" s="12"/>
      <c r="B13" s="21" t="s">
        <v>140</v>
      </c>
      <c r="C13" s="46" t="s">
        <v>38</v>
      </c>
      <c r="D13" s="116"/>
      <c r="E13" s="116"/>
      <c r="F13" s="116"/>
      <c r="G13" s="141"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v>
      </c>
      <c r="H13" s="109"/>
      <c r="I13" s="93" t="e">
        <f ca="1">INDIRECT(ADDRESS(I$9,COLUMN($U$1)))+INDIRECT(ADDRESS(I$9,COLUMN($V$1)))*D16</f>
        <v>#VALUE!</v>
      </c>
      <c r="J13" s="94" t="e">
        <f ca="1">INDIRECT(ADDRESS(J$9,COLUMN($U$1)))+INDIRECT(ADDRESS(J$9,COLUMN($V$1)))*E16</f>
        <v>#VALUE!</v>
      </c>
      <c r="K13" s="94" t="e">
        <f ca="1">INDIRECT(ADDRESS(K$9,COLUMN($U$1)))+INDIRECT(ADDRESS(K$9,COLUMN($V$1)))*F16</f>
        <v>#VALUE!</v>
      </c>
      <c r="L13" s="94"/>
      <c r="M13" s="94"/>
      <c r="N13" s="94"/>
      <c r="O13" s="94"/>
      <c r="P13" s="94"/>
      <c r="Q13" s="94"/>
      <c r="R13" s="94"/>
      <c r="S13" s="94"/>
      <c r="T13" s="94"/>
      <c r="U13" s="94"/>
      <c r="V13" s="94"/>
      <c r="W13" s="94"/>
      <c r="X13" s="94"/>
      <c r="Y13" s="94"/>
      <c r="Z13" s="94"/>
      <c r="AA13" s="94"/>
      <c r="AB13" s="94"/>
      <c r="AC13" s="110"/>
      <c r="AD13" s="111"/>
      <c r="AE13" s="107"/>
    </row>
    <row r="14" spans="1:31" ht="127.5" customHeight="1" thickBot="1" thickTop="1">
      <c r="A14" s="12"/>
      <c r="B14" s="22"/>
      <c r="C14" s="120" t="str">
        <f>"λ"&amp;IF($I$2="住宅"," gnd,","")&amp;"i"&amp;IF($I$2="住宅","  "&amp;CHAR(10),"")&amp;" [W/(mK)]="</f>
        <v>λ gnd,i  
 [W/(mK)]=</v>
      </c>
      <c r="D14" s="117"/>
      <c r="E14" s="117"/>
      <c r="F14" s="117"/>
      <c r="G14" s="158"/>
      <c r="H14" s="109"/>
      <c r="I14" s="93" t="e">
        <f ca="1">INDIRECT(ADDRESS(I$9,COLUMN($Y$1)))+INDIRECT(ADDRESS(I$9,COLUMN($Z$1)))*D16</f>
        <v>#VALUE!</v>
      </c>
      <c r="J14" s="94" t="e">
        <f ca="1">INDIRECT(ADDRESS(J$9,COLUMN($Y$1)))+INDIRECT(ADDRESS(J$9,COLUMN($Z$1)))*E16</f>
        <v>#VALUE!</v>
      </c>
      <c r="K14" s="94" t="e">
        <f ca="1">INDIRECT(ADDRESS(K$9,COLUMN($Y$1)))+INDIRECT(ADDRESS(K$9,COLUMN($Z$1)))*F16</f>
        <v>#VALUE!</v>
      </c>
      <c r="L14" s="94"/>
      <c r="M14" s="94"/>
      <c r="N14" s="94"/>
      <c r="O14" s="94"/>
      <c r="P14" s="94"/>
      <c r="Q14" s="94"/>
      <c r="R14" s="94"/>
      <c r="S14" s="94"/>
      <c r="T14" s="94"/>
      <c r="U14" s="94"/>
      <c r="V14" s="94"/>
      <c r="W14" s="94"/>
      <c r="X14" s="94"/>
      <c r="Y14" s="94"/>
      <c r="Z14" s="94"/>
      <c r="AA14" s="94"/>
      <c r="AB14" s="94"/>
      <c r="AC14" s="110"/>
      <c r="AD14" s="111"/>
      <c r="AE14" s="107"/>
    </row>
    <row r="15" spans="1:31" ht="99.75" customHeight="1" thickBot="1" thickTop="1">
      <c r="A15" s="12"/>
      <c r="B15" s="33" t="s">
        <v>139</v>
      </c>
      <c r="C15" s="121" t="str">
        <f>"L"&amp;IF($I$2="住宅"," exch,","")&amp;"i [m]="</f>
        <v>L exch,i [m]=</v>
      </c>
      <c r="D15" s="118"/>
      <c r="E15" s="118"/>
      <c r="F15" s="118"/>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※地中熱交換器長は四捨五入して整数とした値で入力するものとする。</v>
      </c>
      <c r="H15" s="112"/>
      <c r="I15" s="93"/>
      <c r="J15" s="94"/>
      <c r="K15" s="94"/>
      <c r="L15" s="94"/>
      <c r="M15" s="94"/>
      <c r="N15" s="94"/>
      <c r="O15" s="94"/>
      <c r="P15" s="94"/>
      <c r="Q15" s="94"/>
      <c r="R15" s="94"/>
      <c r="S15" s="94"/>
      <c r="T15" s="94"/>
      <c r="U15" s="94"/>
      <c r="V15" s="94"/>
      <c r="W15" s="94"/>
      <c r="X15" s="94"/>
      <c r="Y15" s="94"/>
      <c r="Z15" s="94"/>
      <c r="AA15" s="94"/>
      <c r="AB15" s="94"/>
      <c r="AC15" s="110"/>
      <c r="AD15" s="111"/>
      <c r="AE15" s="107"/>
    </row>
    <row r="16" spans="1:31" ht="108.75" customHeight="1" thickBot="1" thickTop="1">
      <c r="A16" s="12"/>
      <c r="B16" s="84" t="s">
        <v>137</v>
      </c>
      <c r="C16" s="122" t="str">
        <f>"d"&amp;IF($I$2="住宅"," exch,","")&amp;"i [m]="</f>
        <v>d exch,i [m]=</v>
      </c>
      <c r="D16" s="119"/>
      <c r="E16" s="119"/>
      <c r="F16" s="119"/>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112"/>
      <c r="I16" s="93"/>
      <c r="J16" s="94"/>
      <c r="K16" s="94"/>
      <c r="L16" s="94"/>
      <c r="M16" s="94"/>
      <c r="N16" s="94"/>
      <c r="O16" s="94"/>
      <c r="P16" s="94"/>
      <c r="Q16" s="94"/>
      <c r="R16" s="94"/>
      <c r="S16" s="94"/>
      <c r="T16" s="94"/>
      <c r="U16" s="94"/>
      <c r="V16" s="94"/>
      <c r="W16" s="94"/>
      <c r="X16" s="94"/>
      <c r="Y16" s="94"/>
      <c r="Z16" s="94"/>
      <c r="AA16" s="94"/>
      <c r="AB16" s="94"/>
      <c r="AC16" s="110"/>
      <c r="AD16" s="111"/>
      <c r="AE16" s="107"/>
    </row>
    <row r="17" spans="1:31" ht="42" customHeight="1" thickBot="1" thickTop="1">
      <c r="A17" s="12"/>
      <c r="B17" s="25" t="s">
        <v>141</v>
      </c>
      <c r="C17" s="123" t="str">
        <f>"冷房時："&amp;CHAR(10)&amp;"q"&amp;IF($I$2="住宅"," rtd,C,hs","c")&amp;" [kW]="</f>
        <v>冷房時：
q rtd,C,hs [kW]=</v>
      </c>
      <c r="D17" s="140"/>
      <c r="E17" s="140"/>
      <c r="F17" s="140"/>
      <c r="G17" s="141" t="str">
        <f>IF($I$2="住宅","※地中熱ヒートポンプの定格性能を入力する。入力値は、"&amp;"冷房時についてはJRA 4071:2017「ヒートポンプ式温水暖房機」およびJRA 4066:2017「ウォーターチリングユニット」によって、暖房時についてはJRA 4071:2017「ヒートポンプ式温水暖房機」またはJRA 4066:2017「ウォーターチリングユニット」によって規定される定格条件における能力とする。"&amp;"ただし、JRA 4066:2017「ウォーターチリングユニット」の代わりとして、JIS B 8613:1994「ウォーターチリングユニット」を適用することができる。"&amp;CHAR(10)&amp;"※住宅では定格消費電力の入力は不要である(Ver.3.1以降)。","※地中熱ヒートポンプの定格性能を入力する。入力値は水－空気ヒートポンプについては、「JIS B 8616:2015 パッケージエアコンディショナ」の定格条件における値を、水－水ヒートポンプについては、「JIS B 8613:1994 ウォーターチリングユニット」または「JRA 4066:2014 ウォーターチリングユニット」の定格条件における値を入力する。ただし、循環ポンプを内蔵した機種では、ポンプ動力を除外した値を入力する。")</f>
        <v>※地中熱ヒートポンプの定格性能を入力する。入力値は、冷房時についてはJRA 4071:2017「ヒートポンプ式温水暖房機」およびJRA 4066:2017「ウォーターチリングユニット」によって、暖房時についてはJRA 4071:2017「ヒートポンプ式温水暖房機」またはJRA 4066:2017「ウォーターチリングユニット」によって規定される定格条件における能力とする。ただし、JRA 4066:2017「ウォーターチリングユニット」の代わりとして、JIS B 8613:1994「ウォーターチリングユニット」を適用することができる。
※住宅では定格消費電力の入力は不要である(Ver.3.1以降)。</v>
      </c>
      <c r="H17" s="109"/>
      <c r="I17" s="93"/>
      <c r="J17" s="94"/>
      <c r="K17" s="94"/>
      <c r="L17" s="94"/>
      <c r="M17" s="94"/>
      <c r="N17" s="94"/>
      <c r="O17" s="94"/>
      <c r="P17" s="94"/>
      <c r="Q17" s="94"/>
      <c r="R17" s="94"/>
      <c r="S17" s="94"/>
      <c r="T17" s="94"/>
      <c r="U17" s="94"/>
      <c r="V17" s="94"/>
      <c r="W17" s="94"/>
      <c r="X17" s="94"/>
      <c r="Y17" s="94"/>
      <c r="Z17" s="94"/>
      <c r="AA17" s="94"/>
      <c r="AB17" s="94"/>
      <c r="AC17" s="110"/>
      <c r="AD17" s="111"/>
      <c r="AE17" s="107"/>
    </row>
    <row r="18" spans="1:31" ht="42" customHeight="1" thickBot="1" thickTop="1">
      <c r="A18" s="12"/>
      <c r="B18" s="22"/>
      <c r="C18" s="123" t="str">
        <f>"暖房時："&amp;CHAR(10)&amp;"q"&amp;IF($I$2="住宅"," rtd,H,hs","h")&amp;" [kW]="</f>
        <v>暖房時：
q rtd,H,hs [kW]=</v>
      </c>
      <c r="D18" s="140"/>
      <c r="E18" s="140"/>
      <c r="F18" s="140"/>
      <c r="G18" s="142"/>
      <c r="H18" s="109"/>
      <c r="I18" s="93"/>
      <c r="J18" s="94"/>
      <c r="K18" s="94"/>
      <c r="L18" s="94"/>
      <c r="M18" s="94"/>
      <c r="N18" s="94"/>
      <c r="O18" s="94"/>
      <c r="P18" s="94"/>
      <c r="Q18" s="94"/>
      <c r="R18" s="94"/>
      <c r="S18" s="94"/>
      <c r="T18" s="94"/>
      <c r="U18" s="94"/>
      <c r="V18" s="94"/>
      <c r="W18" s="94"/>
      <c r="X18" s="94"/>
      <c r="Y18" s="94"/>
      <c r="Z18" s="94"/>
      <c r="AA18" s="94"/>
      <c r="AB18" s="94"/>
      <c r="AC18" s="110"/>
      <c r="AD18" s="111"/>
      <c r="AE18" s="107"/>
    </row>
    <row r="19" spans="1:31" ht="42" customHeight="1" thickBot="1" thickTop="1">
      <c r="A19" s="12"/>
      <c r="B19" s="26" t="s">
        <v>142</v>
      </c>
      <c r="C19" s="125" t="s">
        <v>143</v>
      </c>
      <c r="D19" s="140"/>
      <c r="E19" s="140"/>
      <c r="F19" s="140"/>
      <c r="G19" s="142"/>
      <c r="H19" s="109"/>
      <c r="I19" s="93"/>
      <c r="J19" s="94"/>
      <c r="K19" s="94"/>
      <c r="L19" s="94"/>
      <c r="M19" s="94"/>
      <c r="N19" s="94"/>
      <c r="O19" s="94"/>
      <c r="P19" s="94"/>
      <c r="Q19" s="94"/>
      <c r="R19" s="94"/>
      <c r="S19" s="94"/>
      <c r="T19" s="94"/>
      <c r="U19" s="94"/>
      <c r="V19" s="94"/>
      <c r="W19" s="94"/>
      <c r="X19" s="94"/>
      <c r="Y19" s="94"/>
      <c r="Z19" s="94"/>
      <c r="AA19" s="94"/>
      <c r="AB19" s="94"/>
      <c r="AC19" s="110"/>
      <c r="AD19" s="111"/>
      <c r="AE19" s="107"/>
    </row>
    <row r="20" spans="1:31" ht="42" customHeight="1" thickBot="1" thickTop="1">
      <c r="A20" s="12"/>
      <c r="B20" s="22"/>
      <c r="C20" s="125" t="s">
        <v>144</v>
      </c>
      <c r="D20" s="140"/>
      <c r="E20" s="140"/>
      <c r="F20" s="140"/>
      <c r="G20" s="143"/>
      <c r="H20" s="109"/>
      <c r="I20" s="93">
        <f ca="1">IF(D$14&gt;0,INDIRECT(ADDRESS(I$9,COLUMN($S$1)))&amp;IF(INDIRECT(ADDRESS(I$9,COLUMN($V$1)))=0,"",ROUND(D16,3))&amp;INDIRECT(ADDRESS(I$9,COLUMN($T$1)))&amp;ROUND(D$14,1)&amp;"^("&amp;INDIRECT(ADDRESS(I$9,COLUMN($W$1)))&amp;IF(INDIRECT(ADDRESS(I$9,COLUMN($V$1)))=0,"",ROUND(D16,3)&amp;INDIRECT(ADDRESS(I$9,COLUMN($X$1))))&amp;")","")</f>
      </c>
      <c r="J20" s="94"/>
      <c r="K20" s="94"/>
      <c r="L20" s="94"/>
      <c r="M20" s="94"/>
      <c r="N20" s="94"/>
      <c r="O20" s="94"/>
      <c r="P20" s="94"/>
      <c r="Q20" s="94"/>
      <c r="R20" s="94"/>
      <c r="S20" s="94"/>
      <c r="T20" s="94"/>
      <c r="U20" s="94"/>
      <c r="V20" s="94"/>
      <c r="W20" s="94"/>
      <c r="X20" s="94"/>
      <c r="Y20" s="94"/>
      <c r="Z20" s="94"/>
      <c r="AA20" s="94"/>
      <c r="AB20" s="94"/>
      <c r="AC20" s="110"/>
      <c r="AD20" s="111"/>
      <c r="AE20" s="107"/>
    </row>
    <row r="21" spans="4:31" ht="6" customHeight="1" thickTop="1">
      <c r="D21" s="17"/>
      <c r="E21" s="17"/>
      <c r="F21" s="17"/>
      <c r="G21" s="17"/>
      <c r="H21" s="109"/>
      <c r="I21" s="93"/>
      <c r="J21" s="94"/>
      <c r="K21" s="94"/>
      <c r="L21" s="94"/>
      <c r="M21" s="94"/>
      <c r="N21" s="94"/>
      <c r="O21" s="94"/>
      <c r="P21" s="94"/>
      <c r="Q21" s="94"/>
      <c r="R21" s="94"/>
      <c r="S21" s="94"/>
      <c r="T21" s="94"/>
      <c r="U21" s="94"/>
      <c r="V21" s="94"/>
      <c r="W21" s="94"/>
      <c r="X21" s="94"/>
      <c r="Y21" s="94"/>
      <c r="Z21" s="94"/>
      <c r="AA21" s="94"/>
      <c r="AB21" s="94"/>
      <c r="AC21" s="110"/>
      <c r="AD21" s="111"/>
      <c r="AE21" s="107"/>
    </row>
    <row r="22" spans="2:31" ht="18" customHeight="1">
      <c r="B22" s="17" t="s">
        <v>36</v>
      </c>
      <c r="C22" s="27"/>
      <c r="D22" s="17"/>
      <c r="E22" s="17"/>
      <c r="F22" s="17"/>
      <c r="G22" s="17"/>
      <c r="I22" s="93"/>
      <c r="J22" s="94">
        <f ca="1">IF(E$14&gt;0,INDIRECT(ADDRESS(J$9,COLUMN($S$1)))&amp;IF(INDIRECT(ADDRESS(J$9,COLUMN($V$1)))=0,"",ROUND(E16,3))&amp;INDIRECT(ADDRESS(J$9,COLUMN($T$1)))&amp;ROUND(E$14,1)&amp;"^("&amp;INDIRECT(ADDRESS(J$9,COLUMN($W$1)))&amp;IF(INDIRECT(ADDRESS(J$9,COLUMN($V$1)))=0,"",ROUND(E16,3)&amp;INDIRECT(ADDRESS(J$9,COLUMN($X$1))))&amp;")","")</f>
      </c>
      <c r="K22" s="94"/>
      <c r="L22" s="94"/>
      <c r="M22" s="94"/>
      <c r="N22" s="94"/>
      <c r="O22" s="94"/>
      <c r="P22" s="94"/>
      <c r="Q22" s="94"/>
      <c r="R22" s="94"/>
      <c r="S22" s="94"/>
      <c r="T22" s="94"/>
      <c r="U22" s="94"/>
      <c r="V22" s="94"/>
      <c r="W22" s="94"/>
      <c r="X22" s="94"/>
      <c r="Y22" s="94"/>
      <c r="Z22" s="94"/>
      <c r="AA22" s="94"/>
      <c r="AB22" s="94"/>
      <c r="AC22" s="110"/>
      <c r="AD22" s="111"/>
      <c r="AE22" s="107"/>
    </row>
    <row r="23" spans="2:31" ht="27" customHeight="1">
      <c r="B23" s="18" t="s">
        <v>7</v>
      </c>
      <c r="C23" s="144" t="s">
        <v>61</v>
      </c>
      <c r="D23" s="145"/>
      <c r="E23" s="145"/>
      <c r="F23" s="146"/>
      <c r="G23" s="20" t="s">
        <v>138</v>
      </c>
      <c r="I23" s="93"/>
      <c r="J23" s="94"/>
      <c r="K23" s="94">
        <f ca="1">IF(F$14&gt;0,INDIRECT(ADDRESS(K$9,COLUMN($S$1)))&amp;IF(INDIRECT(ADDRESS(K$9,COLUMN($V$1)))=0,"",ROUND(F16,3))&amp;INDIRECT(ADDRESS(K$9,COLUMN($T$1)))&amp;ROUND(F$14,1)&amp;"^("&amp;INDIRECT(ADDRESS(K$9,COLUMN($W$1)))&amp;IF(INDIRECT(ADDRESS(K$9,COLUMN($V$1)))=0,"",ROUND(F16,3)&amp;INDIRECT(ADDRESS(K$9,COLUMN($X$1))))&amp;")","")</f>
      </c>
      <c r="L23" s="94"/>
      <c r="M23" s="94"/>
      <c r="N23" s="94"/>
      <c r="O23" s="94"/>
      <c r="P23" s="94"/>
      <c r="Q23" s="94"/>
      <c r="R23" s="94"/>
      <c r="S23" s="94"/>
      <c r="T23" s="94"/>
      <c r="U23" s="94"/>
      <c r="V23" s="94"/>
      <c r="W23" s="94"/>
      <c r="X23" s="94"/>
      <c r="Y23" s="94"/>
      <c r="Z23" s="94"/>
      <c r="AA23" s="94"/>
      <c r="AB23" s="94"/>
      <c r="AC23" s="110"/>
      <c r="AD23" s="111"/>
      <c r="AE23" s="107"/>
    </row>
    <row r="24" spans="1:31" ht="103.5" customHeight="1">
      <c r="A24" s="12"/>
      <c r="B24" s="21" t="s">
        <v>145</v>
      </c>
      <c r="C24" s="124" t="str">
        <f>"l"&amp;IF($I$2="住宅"," exch,","")&amp;"i [-]="</f>
        <v>l exch,i [-]=</v>
      </c>
      <c r="D24" s="87">
        <f>IF(D$14&lt;=0,"",ROUND(I13*ROUND(D$14,1)^I14,2))</f>
      </c>
      <c r="E24" s="87">
        <f>IF(E$14&lt;=0,"",ROUND(J13*ROUND(E$14,1)^J14,2))</f>
      </c>
      <c r="F24" s="87">
        <f>IF(F$14&lt;=0,"",ROUND(K13*ROUND(F$14,1)^K14,2))</f>
      </c>
      <c r="G24" s="126">
        <f>IF(D$14&gt;0,"l"&amp;IF($I$2="住宅"," exch,","")&amp;"1 = "&amp;I20&amp;" = "&amp;D24&amp;CHAR(10),"")&amp;IF(E$14&gt;0,"l"&amp;IF($I$2="住宅"," exch,","")&amp;"2 = "&amp;J22&amp;" = "&amp;E24&amp;CHAR(10),"")&amp;IF(F$14&gt;0,"l"&amp;IF($I$2="住宅"," exch,","")&amp;"3 = "&amp;K23&amp;" = "&amp;F24&amp;CHAR(10),"")&amp;IF(OR(D$14&gt;0,E$14&gt;0,F$14&gt;0),"※"&amp;"l"&amp;IF($I$2="住宅"," exch,","")&amp;"i "&amp;"は小数点以下2桁とする。","")</f>
      </c>
      <c r="I24" s="93" t="b">
        <f>OR(D$24&lt;&gt;IF(D$14&lt;=0,"",ROUND(I13*ROUND(D$14,1)^I14,2)),E$24&lt;&gt;IF(E$14&lt;=0,"",ROUND(J13*ROUND(E$14,1)^J14,2)),F$24&lt;&gt;IF(F$14&lt;=0,"",ROUND(K13*ROUND(F$14,1)^K14,2)))</f>
        <v>0</v>
      </c>
      <c r="J24" s="94"/>
      <c r="K24" s="94"/>
      <c r="L24" s="94"/>
      <c r="M24" s="94"/>
      <c r="N24" s="94"/>
      <c r="O24" s="94"/>
      <c r="P24" s="94"/>
      <c r="Q24" s="94"/>
      <c r="R24" s="94"/>
      <c r="S24" s="94"/>
      <c r="T24" s="94"/>
      <c r="U24" s="94"/>
      <c r="V24" s="94"/>
      <c r="W24" s="94"/>
      <c r="X24" s="94"/>
      <c r="Y24" s="94"/>
      <c r="Z24" s="94"/>
      <c r="AA24" s="94"/>
      <c r="AB24" s="94"/>
      <c r="AC24" s="110"/>
      <c r="AD24" s="111"/>
      <c r="AE24" s="107"/>
    </row>
    <row r="25" spans="1:28" ht="65.25" customHeight="1">
      <c r="A25" s="12"/>
      <c r="B25" s="31"/>
      <c r="C25" s="124" t="str">
        <f>"L'"&amp;IF($I$2="住宅","exch,","")&amp;"i [m]="</f>
        <v>L'exch,i [m]=</v>
      </c>
      <c r="D25" s="81">
        <f>IF(AND(D15&gt;0,D24&gt;0,D14&gt;0),ROUND(ROUND(D$15,0)/D$24,0),"")</f>
      </c>
      <c r="E25" s="81">
        <f>IF(AND(E15&gt;0,E24&gt;0,E14&gt;0),ROUND(ROUND(E$15,0)/E$24,0),"")</f>
      </c>
      <c r="F25" s="81">
        <f>IF(AND(F15&gt;0,F24&gt;0,F14&gt;0),ROUND(ROUND(F$15,0)/F$24,0),"")</f>
      </c>
      <c r="G25" s="126">
        <f>IF(AND(D15&gt;0,D24&gt;0,D14&gt;0),"L'"&amp;IF($I$2="住宅","exch,","")&amp;"1 = L"&amp;IF($I$2="住宅"," exch,","")&amp;"1／l"&amp;IF($I$2="住宅"," exch,","")&amp;"1 = "&amp;D$15&amp;"/"&amp;ROUND(D$24,2)&amp;" = "&amp;D25&amp;" [m]"&amp;CHAR(10),"")&amp;IF(AND(E15&gt;0,E24&gt;0,E14&gt;0),"L'"&amp;IF($I$2="住宅","exch,","")&amp;"2 = L"&amp;IF($I$2="住宅"," exch,","")&amp;"2／l"&amp;IF($I$2="住宅"," exch,","")&amp;"2 = "&amp;E$15&amp;"/"&amp;ROUND(E$24,2)&amp;" = "&amp;E25&amp;" [m]"&amp;CHAR(10),"")&amp;IF(AND(F15&gt;0,F24&gt;0,F14&gt;0),"L'"&amp;IF($I$2="住宅","exch,","")&amp;"3 = L"&amp;IF($I$2="住宅"," exch,","")&amp;"3／l"&amp;IF($I$2="住宅"," exch,","")&amp;"3 = "&amp;F$15&amp;"/"&amp;ROUND(F$24,2)&amp;" = "&amp;F25&amp;" [m]"&amp;CHAR(10),"")&amp;IF(OR(AND(D15&gt;0,D24&gt;0,D14&gt;0),AND(E15&gt;0,E24&gt;0,E14&gt;0),AND(F15&gt;0,F24&gt;0,F14&gt;0)),"※L'"&amp;IF($I$2="住宅","exch,","")&amp;"i は整数とする。","")</f>
      </c>
      <c r="I25" s="130"/>
      <c r="J25" s="131"/>
      <c r="K25" s="131"/>
      <c r="L25" s="131"/>
      <c r="M25" s="131"/>
      <c r="N25" s="131"/>
      <c r="O25" s="131"/>
      <c r="P25" s="131"/>
      <c r="Q25" s="131"/>
      <c r="R25" s="131"/>
      <c r="S25" s="131"/>
      <c r="T25" s="131"/>
      <c r="U25" s="131"/>
      <c r="V25" s="131"/>
      <c r="W25" s="131"/>
      <c r="X25" s="131"/>
      <c r="Y25" s="131"/>
      <c r="Z25" s="131"/>
      <c r="AA25" s="131"/>
      <c r="AB25" s="131"/>
    </row>
    <row r="26" spans="1:28" ht="28.5" customHeight="1">
      <c r="A26" s="12"/>
      <c r="B26" s="22"/>
      <c r="C26" s="124" t="str">
        <f>"L'"&amp;IF($I$2="住宅","exch","")&amp;" [m]="</f>
        <v>L'exch [m]=</v>
      </c>
      <c r="D26" s="136">
        <f>IF(SUM(D25:F25)&gt;0,SUM(D25:F25),"")</f>
      </c>
      <c r="E26" s="136"/>
      <c r="F26" s="136"/>
      <c r="G26" s="126">
        <f>IF(D26="","","L'"&amp;IF($I$2="住宅","exch","")&amp;" = Σ L'"&amp;IF($I$2="住宅","exch,","")&amp;"i ="&amp;IF(D25&lt;&gt;"",ROUND(D25,0),"")&amp;IF(AND(D25&lt;&gt;"",E25&lt;&gt;""),"+","")&amp;IF(E25&lt;&gt;"",ROUND(E25,0),"")&amp;IF(F25&lt;&gt;"","+","")&amp;IF(F25&lt;&gt;"",ROUND(F25,0),""))&amp;IF(D26="",""," = "&amp;D26&amp;" [m]")</f>
      </c>
      <c r="H26" s="109"/>
      <c r="I26" s="130"/>
      <c r="J26" s="131">
        <f>IF($I$2="住宅",$D$17*($I$27+1)/$I$27,$D$17+$D$19)</f>
        <v>0</v>
      </c>
      <c r="K26" s="132"/>
      <c r="L26" s="132"/>
      <c r="M26" s="131"/>
      <c r="N26" s="131"/>
      <c r="O26" s="131"/>
      <c r="P26" s="131"/>
      <c r="Q26" s="131"/>
      <c r="R26" s="131"/>
      <c r="S26" s="131"/>
      <c r="T26" s="131"/>
      <c r="U26" s="131"/>
      <c r="V26" s="131"/>
      <c r="W26" s="131"/>
      <c r="X26" s="131"/>
      <c r="Y26" s="131"/>
      <c r="Z26" s="131"/>
      <c r="AA26" s="131"/>
      <c r="AB26" s="131"/>
    </row>
    <row r="27" spans="1:28" ht="60" customHeight="1">
      <c r="A27" s="12"/>
      <c r="B27" s="29" t="s">
        <v>146</v>
      </c>
      <c r="C27" s="123" t="str">
        <f>"H"&amp;IF($I$2="住宅"," exch,C"&amp;CHAR(10),"c'")&amp;" [kW]="</f>
        <v>H exch,C
 [kW]=</v>
      </c>
      <c r="D27" s="137">
        <f>IF(OR(AND($I$2="住宅",D17=""),AND($I$2&lt;&gt;"住宅",OR(D17="",D19=""))),"",IF($I$10="H","―",ROUND(J27,2-INT(LOG(ABS(J27))))))</f>
      </c>
      <c r="E27" s="137"/>
      <c r="F27" s="137"/>
      <c r="G27" s="126">
        <f>IF(D27="","",IF($I$10="H","※"&amp;$D$10&amp;"では冷房時は非考慮とする 【"&amp;$I$2&amp;"】","H"&amp;IF($I$2="住宅"," exch,C","c'")&amp;" = "&amp;$D$17&amp;IF($I$2="住宅"," / "&amp;$K$27," + "&amp;$D$19)&amp;" = "&amp;D27&amp;" [kW]"&amp;IF($I$2="住宅",CHAR(10)&amp;"※「"&amp;$K$27&amp;"」は：正味の地中熱交換器の交換熱量に対する"&amp;CHAR(10)&amp;" 　熱源機の冷房能力の比(定数値)","")&amp;CHAR(10)&amp;"※有効桁数4桁を四捨五入して求める。"))</f>
      </c>
      <c r="I27" s="130">
        <v>3.5443</v>
      </c>
      <c r="J27" s="131">
        <f>IF($I$2="住宅",$D$17/K27,$D$17+$D$19)</f>
        <v>0</v>
      </c>
      <c r="K27" s="131">
        <v>0.7799</v>
      </c>
      <c r="L27" s="131"/>
      <c r="M27" s="131"/>
      <c r="N27" s="131"/>
      <c r="O27" s="131"/>
      <c r="P27" s="131"/>
      <c r="Q27" s="131"/>
      <c r="R27" s="131"/>
      <c r="S27" s="131"/>
      <c r="T27" s="131"/>
      <c r="U27" s="131"/>
      <c r="V27" s="131"/>
      <c r="W27" s="131"/>
      <c r="X27" s="131"/>
      <c r="Y27" s="131"/>
      <c r="Z27" s="131"/>
      <c r="AA27" s="131"/>
      <c r="AB27" s="131"/>
    </row>
    <row r="28" spans="1:28" ht="60" customHeight="1">
      <c r="A28" s="12"/>
      <c r="B28" s="31"/>
      <c r="C28" s="123" t="str">
        <f>"H"&amp;IF($I$2="住宅"," exch,H"&amp;CHAR(10),"h'")&amp;" [kW]="</f>
        <v>H exch,H
 [kW]=</v>
      </c>
      <c r="D28" s="137">
        <f>IF(OR(AND($I$2="住宅",D18=""),AND($I$2&lt;&gt;"住宅",OR(D18="",D20=""))),"",ROUND(J28,2-INT(LOG(ABS(J28)))))</f>
      </c>
      <c r="E28" s="137"/>
      <c r="F28" s="137"/>
      <c r="G28" s="126">
        <f>IF(D28="","","H"&amp;IF($I$2="住宅"," exch,H","h'")&amp;" = "&amp;$D$18&amp;IF($I$2="住宅"," / "&amp;K28," - "&amp;$D$20)&amp;" = "&amp;$D$28&amp;" [kW]"&amp;IF($I$2="住宅",CHAR(10)&amp;"※「"&amp;$K$28&amp;"」は正味の地中熱交換器の交換熱量に対する"&amp;CHAR(10)&amp;" 　熱源機の暖房能力の比(定数値)","")&amp;CHAR(10)&amp;"※有効桁数4桁を四捨五入して求める。")</f>
      </c>
      <c r="I28" s="130">
        <v>4.6526</v>
      </c>
      <c r="J28" s="131">
        <f>IF($I$2="住宅",$D$18/K28,$D$18-$D$20)</f>
        <v>0</v>
      </c>
      <c r="K28" s="131">
        <v>1.2738</v>
      </c>
      <c r="L28" s="131"/>
      <c r="M28" s="131"/>
      <c r="N28" s="131"/>
      <c r="O28" s="131"/>
      <c r="P28" s="131"/>
      <c r="Q28" s="131"/>
      <c r="R28" s="131"/>
      <c r="S28" s="131"/>
      <c r="T28" s="131"/>
      <c r="U28" s="131"/>
      <c r="V28" s="131"/>
      <c r="W28" s="131"/>
      <c r="X28" s="131"/>
      <c r="Y28" s="131"/>
      <c r="Z28" s="131"/>
      <c r="AA28" s="131"/>
      <c r="AB28" s="131"/>
    </row>
    <row r="29" spans="1:28" ht="28.5" customHeight="1">
      <c r="A29" s="12"/>
      <c r="B29" s="32"/>
      <c r="C29" s="123" t="str">
        <f>"H"&amp;IF($I$2="住宅"," exch,max"&amp;CHAR(10),"")&amp;" [kW]="</f>
        <v>H exch,max
 [kW]=</v>
      </c>
      <c r="D29" s="137">
        <f>IF(OR(D27="",D28=""),"",IF($I$10="H",$D$28,MAX($D$27:$F$28)))</f>
      </c>
      <c r="E29" s="137"/>
      <c r="F29" s="137"/>
      <c r="G29" s="127">
        <f>IF(D29="","","← "&amp;"H"&amp;IF($I$2="住宅"," exch,max","")&amp;IF($I$10="H"," = "&amp;"H"&amp;IF($I$2="住宅"," exch,H","h'")&amp;" = "&amp;$D$28&amp;"  ("&amp;$D$10&amp;")"," = "&amp;MAX($D$27:$D$28)&amp;" [kW] ≧"&amp;MIN($D$27:$D$28)&amp;" [kW]"))</f>
      </c>
      <c r="I29" s="130"/>
      <c r="J29" s="131">
        <f>IF($I$2="住宅",$D$18*($I$28-1)/$I$28,$D$18-$D$20)</f>
        <v>0</v>
      </c>
      <c r="K29" s="131"/>
      <c r="L29" s="131"/>
      <c r="M29" s="131"/>
      <c r="N29" s="131"/>
      <c r="O29" s="131"/>
      <c r="P29" s="131"/>
      <c r="Q29" s="131"/>
      <c r="R29" s="131"/>
      <c r="S29" s="131"/>
      <c r="T29" s="131"/>
      <c r="U29" s="131"/>
      <c r="V29" s="131"/>
      <c r="W29" s="131"/>
      <c r="X29" s="131"/>
      <c r="Y29" s="131"/>
      <c r="Z29" s="131"/>
      <c r="AA29" s="131"/>
      <c r="AB29" s="131"/>
    </row>
    <row r="30" spans="1:28" ht="28.5" customHeight="1">
      <c r="A30" s="12"/>
      <c r="B30" s="20" t="s">
        <v>147</v>
      </c>
      <c r="C30" s="123" t="str">
        <f>"Q"&amp;IF($I$2="住宅"," exch,max"&amp;CHAR(10),"'")&amp;" [W/m]="</f>
        <v>Q exch,max
 [W/m]=</v>
      </c>
      <c r="D30" s="137">
        <f>IF(OR(D26&lt;=0,D26="",D29="",D29&lt;=0),"",ROUND(J30,2-INT(LOG(ABS(J30)))))</f>
      </c>
      <c r="E30" s="137"/>
      <c r="F30" s="137"/>
      <c r="G30" s="126">
        <f>IF(D30="","","Q"&amp;IF($I$2="住宅"," exch,max","'")&amp;" = 1000×H/L' = 1000×"&amp;$D$29&amp;"/"&amp;ROUND($D$26,1)&amp;" = "&amp;$D$30&amp;" [W/m]"&amp;CHAR(10)&amp;"※"&amp;"Q"&amp;IF($I$2="住宅"," exch,max","'")&amp;" は有効桁数4桁で四捨五入して求める。")</f>
      </c>
      <c r="I30" s="130"/>
      <c r="J30" s="131">
        <f>IF(OR(D26&lt;=0,D26="",D29="",D29&lt;=0),"",1000*$D$29/$D$26)</f>
      </c>
      <c r="K30" s="131"/>
      <c r="L30" s="131"/>
      <c r="M30" s="131"/>
      <c r="N30" s="131"/>
      <c r="O30" s="131"/>
      <c r="P30" s="131"/>
      <c r="Q30" s="131"/>
      <c r="R30" s="131"/>
      <c r="S30" s="131"/>
      <c r="T30" s="131"/>
      <c r="U30" s="131"/>
      <c r="V30" s="131"/>
      <c r="W30" s="131"/>
      <c r="X30" s="131"/>
      <c r="Y30" s="131"/>
      <c r="Z30" s="131"/>
      <c r="AA30" s="131"/>
      <c r="AB30" s="131"/>
    </row>
    <row r="31" spans="1:28" ht="28.5" customHeight="1">
      <c r="A31" s="12"/>
      <c r="B31" s="18" t="s">
        <v>11</v>
      </c>
      <c r="C31" s="51"/>
      <c r="D31" s="138">
        <f>IF(D30="","",IF($D$30&lt;30,"タイプ1",IF($D$30&lt;50,"タイプ2",IF($D$30&lt;70,"タイプ3",IF($D$30&lt;90,"タイプ4",IF($D$30&gt;=90,"タイプ5",""))))))</f>
      </c>
      <c r="E31" s="138"/>
      <c r="F31" s="139"/>
      <c r="G31" s="126">
        <f>IF(D31="","",IF($D$30&lt;30,"",IF($D$30&lt;50,"30 ≦ ",IF($D$30&lt;70,"50 ≦ ",IF($D$30&lt;90,"70 ≦ ",IF($D$30&gt;=90,"","")))))&amp;"Q"&amp;IF($I$2="住宅"," exch,max","'")&amp;" = "&amp;$D$30&amp;" [W/m]"&amp;IF($D$30&lt;30," ＜ 30",IF($D$30&lt;50," ＜ 50",IF($D$30&lt;70," ＜ 70",IF($D$30&lt;90," ＜ 90",IF($D$30&gt;=90," ≧ 90","")))))&amp;CHAR(10)&amp;"→ この範囲は「"&amp;$D$31&amp;"」となる。")</f>
      </c>
      <c r="I31" s="130"/>
      <c r="J31" s="131"/>
      <c r="K31" s="131"/>
      <c r="L31" s="131"/>
      <c r="M31" s="131"/>
      <c r="N31" s="131"/>
      <c r="O31" s="131"/>
      <c r="P31" s="131"/>
      <c r="Q31" s="131"/>
      <c r="R31" s="131"/>
      <c r="S31" s="131"/>
      <c r="T31" s="131"/>
      <c r="U31" s="131"/>
      <c r="V31" s="131"/>
      <c r="W31" s="131"/>
      <c r="X31" s="131"/>
      <c r="Y31" s="131"/>
      <c r="Z31" s="131"/>
      <c r="AA31" s="131"/>
      <c r="AB31" s="131"/>
    </row>
    <row r="32" spans="2:28" ht="12.75">
      <c r="B32" s="17"/>
      <c r="C32" s="17"/>
      <c r="D32" s="17"/>
      <c r="E32" s="17"/>
      <c r="F32" s="17"/>
      <c r="I32" s="130"/>
      <c r="J32" s="131"/>
      <c r="K32" s="131"/>
      <c r="L32" s="131"/>
      <c r="M32" s="131"/>
      <c r="N32" s="131"/>
      <c r="O32" s="131"/>
      <c r="P32" s="131"/>
      <c r="Q32" s="131"/>
      <c r="R32" s="131"/>
      <c r="S32" s="131"/>
      <c r="T32" s="131"/>
      <c r="U32" s="131"/>
      <c r="V32" s="131"/>
      <c r="W32" s="131"/>
      <c r="X32" s="131"/>
      <c r="Y32" s="131"/>
      <c r="Z32" s="131"/>
      <c r="AA32" s="131"/>
      <c r="AB32" s="131"/>
    </row>
    <row r="33" spans="2:28" ht="12.75">
      <c r="B33" s="133"/>
      <c r="C33" s="134"/>
      <c r="D33" s="134"/>
      <c r="E33" s="134"/>
      <c r="F33" s="134"/>
      <c r="G33" s="135"/>
      <c r="I33" s="130"/>
      <c r="J33" s="131"/>
      <c r="K33" s="131"/>
      <c r="L33" s="131"/>
      <c r="M33" s="131"/>
      <c r="N33" s="131"/>
      <c r="O33" s="131"/>
      <c r="P33" s="131"/>
      <c r="Q33" s="131"/>
      <c r="R33" s="131"/>
      <c r="S33" s="131"/>
      <c r="T33" s="131"/>
      <c r="U33" s="131"/>
      <c r="V33" s="131"/>
      <c r="W33" s="131"/>
      <c r="X33" s="131"/>
      <c r="Y33" s="131"/>
      <c r="Z33" s="131"/>
      <c r="AA33" s="131"/>
      <c r="AB33" s="131"/>
    </row>
    <row r="34" spans="2:28" ht="28.5" customHeight="1">
      <c r="B34" s="133"/>
      <c r="C34" s="134"/>
      <c r="D34" s="134"/>
      <c r="E34" s="134"/>
      <c r="F34" s="134"/>
      <c r="G34" s="135"/>
      <c r="I34" s="130"/>
      <c r="J34" s="131"/>
      <c r="K34" s="131"/>
      <c r="L34" s="131"/>
      <c r="M34" s="131"/>
      <c r="N34" s="131"/>
      <c r="O34" s="131"/>
      <c r="P34" s="131"/>
      <c r="Q34" s="131"/>
      <c r="R34" s="131"/>
      <c r="S34" s="131"/>
      <c r="T34" s="131"/>
      <c r="U34" s="131"/>
      <c r="V34" s="131"/>
      <c r="W34" s="131"/>
      <c r="X34" s="131"/>
      <c r="Y34" s="131"/>
      <c r="Z34" s="131"/>
      <c r="AA34" s="131"/>
      <c r="AB34" s="131"/>
    </row>
    <row r="35" spans="2:28" ht="27" customHeight="1">
      <c r="B35" s="133"/>
      <c r="C35" s="134"/>
      <c r="D35" s="134"/>
      <c r="E35" s="134"/>
      <c r="F35" s="134"/>
      <c r="G35" s="135"/>
      <c r="I35" s="130"/>
      <c r="J35" s="131"/>
      <c r="K35" s="131"/>
      <c r="L35" s="131"/>
      <c r="M35" s="131"/>
      <c r="N35" s="131"/>
      <c r="O35" s="131"/>
      <c r="P35" s="131"/>
      <c r="Q35" s="131"/>
      <c r="R35" s="131"/>
      <c r="S35" s="131"/>
      <c r="T35" s="131"/>
      <c r="U35" s="131"/>
      <c r="V35" s="131"/>
      <c r="W35" s="131"/>
      <c r="X35" s="131"/>
      <c r="Y35" s="131"/>
      <c r="Z35" s="131"/>
      <c r="AA35" s="131"/>
      <c r="AB35" s="131"/>
    </row>
    <row r="36" spans="2:28" ht="30" customHeight="1">
      <c r="B36" s="133"/>
      <c r="C36" s="134"/>
      <c r="D36" s="134"/>
      <c r="E36" s="134"/>
      <c r="F36" s="134"/>
      <c r="G36" s="135"/>
      <c r="I36" s="130"/>
      <c r="J36" s="131"/>
      <c r="K36" s="131"/>
      <c r="L36" s="131"/>
      <c r="M36" s="131"/>
      <c r="N36" s="131"/>
      <c r="O36" s="131"/>
      <c r="P36" s="131"/>
      <c r="Q36" s="131"/>
      <c r="R36" s="131"/>
      <c r="S36" s="131"/>
      <c r="T36" s="131"/>
      <c r="U36" s="131"/>
      <c r="V36" s="131"/>
      <c r="W36" s="131"/>
      <c r="X36" s="131"/>
      <c r="Y36" s="131"/>
      <c r="Z36" s="131"/>
      <c r="AA36" s="131"/>
      <c r="AB36" s="131"/>
    </row>
    <row r="37" spans="2:28" ht="15.75" customHeight="1">
      <c r="B37" s="133"/>
      <c r="C37" s="134"/>
      <c r="D37" s="134"/>
      <c r="E37" s="134"/>
      <c r="F37" s="134"/>
      <c r="G37" s="135"/>
      <c r="I37" s="130"/>
      <c r="J37" s="131"/>
      <c r="K37" s="131"/>
      <c r="L37" s="131"/>
      <c r="M37" s="131"/>
      <c r="N37" s="131"/>
      <c r="O37" s="131"/>
      <c r="P37" s="131"/>
      <c r="Q37" s="131"/>
      <c r="R37" s="131"/>
      <c r="S37" s="131"/>
      <c r="T37" s="131"/>
      <c r="U37" s="131"/>
      <c r="V37" s="131"/>
      <c r="W37" s="131"/>
      <c r="X37" s="131"/>
      <c r="Y37" s="131"/>
      <c r="Z37" s="131"/>
      <c r="AA37" s="131"/>
      <c r="AB37" s="131"/>
    </row>
    <row r="38" spans="2:28" ht="15.75" customHeight="1">
      <c r="B38" s="133"/>
      <c r="C38" s="134"/>
      <c r="D38" s="134"/>
      <c r="E38" s="134"/>
      <c r="F38" s="134"/>
      <c r="G38" s="135"/>
      <c r="I38" s="130"/>
      <c r="J38" s="131"/>
      <c r="K38" s="131"/>
      <c r="L38" s="131"/>
      <c r="M38" s="131"/>
      <c r="N38" s="131"/>
      <c r="O38" s="131"/>
      <c r="P38" s="131"/>
      <c r="Q38" s="131"/>
      <c r="R38" s="131"/>
      <c r="S38" s="131"/>
      <c r="T38" s="131"/>
      <c r="U38" s="131"/>
      <c r="V38" s="131"/>
      <c r="W38" s="131"/>
      <c r="X38" s="131"/>
      <c r="Y38" s="131"/>
      <c r="Z38" s="131"/>
      <c r="AA38" s="131"/>
      <c r="AB38" s="131"/>
    </row>
    <row r="39" spans="2:28" ht="30" customHeight="1">
      <c r="B39" s="133"/>
      <c r="C39" s="134"/>
      <c r="D39" s="134"/>
      <c r="E39" s="134"/>
      <c r="F39" s="134"/>
      <c r="G39" s="135"/>
      <c r="I39" s="130"/>
      <c r="J39" s="131"/>
      <c r="K39" s="131"/>
      <c r="L39" s="131"/>
      <c r="M39" s="131"/>
      <c r="N39" s="131"/>
      <c r="O39" s="131"/>
      <c r="P39" s="131"/>
      <c r="Q39" s="131"/>
      <c r="R39" s="131"/>
      <c r="S39" s="131"/>
      <c r="T39" s="131"/>
      <c r="U39" s="131"/>
      <c r="V39" s="131"/>
      <c r="W39" s="131"/>
      <c r="X39" s="131"/>
      <c r="Y39" s="131"/>
      <c r="Z39" s="131"/>
      <c r="AA39" s="131"/>
      <c r="AB39" s="131"/>
    </row>
    <row r="40" spans="9:28" ht="3.75" customHeight="1">
      <c r="I40" s="130"/>
      <c r="J40" s="131"/>
      <c r="K40" s="131"/>
      <c r="L40" s="131"/>
      <c r="M40" s="131"/>
      <c r="N40" s="131"/>
      <c r="O40" s="131"/>
      <c r="P40" s="131"/>
      <c r="Q40" s="131"/>
      <c r="R40" s="131"/>
      <c r="S40" s="131"/>
      <c r="T40" s="131"/>
      <c r="U40" s="131"/>
      <c r="V40" s="131"/>
      <c r="W40" s="131"/>
      <c r="X40" s="131"/>
      <c r="Y40" s="131"/>
      <c r="Z40" s="131"/>
      <c r="AA40" s="131"/>
      <c r="AB40" s="131"/>
    </row>
    <row r="41" spans="9:28" ht="12.75">
      <c r="I41" s="130"/>
      <c r="J41" s="131"/>
      <c r="K41" s="131"/>
      <c r="L41" s="131"/>
      <c r="M41" s="131"/>
      <c r="N41" s="131"/>
      <c r="O41" s="131"/>
      <c r="P41" s="131"/>
      <c r="Q41" s="131"/>
      <c r="R41" s="131"/>
      <c r="S41" s="131"/>
      <c r="T41" s="131"/>
      <c r="U41" s="131"/>
      <c r="V41" s="131"/>
      <c r="W41" s="131"/>
      <c r="X41" s="131"/>
      <c r="Y41" s="131"/>
      <c r="Z41" s="131"/>
      <c r="AA41" s="131"/>
      <c r="AB41" s="131"/>
    </row>
  </sheetData>
  <sheetProtection password="E841" sheet="1" objects="1" scenarios="1"/>
  <mergeCells count="25">
    <mergeCell ref="C23:F23"/>
    <mergeCell ref="D6:G6"/>
    <mergeCell ref="B6:C6"/>
    <mergeCell ref="C9:F9"/>
    <mergeCell ref="D10:F10"/>
    <mergeCell ref="B11:C11"/>
    <mergeCell ref="G13:G14"/>
    <mergeCell ref="B39:G39"/>
    <mergeCell ref="D31:F31"/>
    <mergeCell ref="B33:G33"/>
    <mergeCell ref="B34:G34"/>
    <mergeCell ref="B35:G35"/>
    <mergeCell ref="D17:F17"/>
    <mergeCell ref="G17:G20"/>
    <mergeCell ref="D18:F18"/>
    <mergeCell ref="D19:F19"/>
    <mergeCell ref="D20:F20"/>
    <mergeCell ref="B36:G36"/>
    <mergeCell ref="B37:G37"/>
    <mergeCell ref="B38:G38"/>
    <mergeCell ref="D26:F26"/>
    <mergeCell ref="D27:F27"/>
    <mergeCell ref="D28:F28"/>
    <mergeCell ref="D29:F29"/>
    <mergeCell ref="D30:F30"/>
  </mergeCells>
  <conditionalFormatting sqref="G24">
    <cfRule type="expression" priority="9" dxfId="60" stopIfTrue="1">
      <formula>$I$24</formula>
    </cfRule>
  </conditionalFormatting>
  <conditionalFormatting sqref="G28">
    <cfRule type="expression" priority="13" dxfId="60" stopIfTrue="1">
      <formula>ROUND($D$28,1)&lt;&gt;ROUND(IF($I$2="住宅",$D$18*($I$28-1)/$I$28,$D$18-$D$20),1)</formula>
    </cfRule>
  </conditionalFormatting>
  <conditionalFormatting sqref="G30">
    <cfRule type="expression" priority="14" dxfId="60" stopIfTrue="1">
      <formula>$D$30&lt;&gt;ROUND(1000*$D$29/$D$26,1)</formula>
    </cfRule>
  </conditionalFormatting>
  <conditionalFormatting sqref="G31">
    <cfRule type="expression" priority="15" dxfId="60" stopIfTrue="1">
      <formula>ROUND($D$31,2)&lt;&gt;ROUND(IF($D$30&lt;30,"タイプ1",IF($D$30&lt;50,"タイプ2",IF($D$30&lt;70,"タイプ3",IF($D$30&lt;90,"タイプ4",IF($D$30&gt;=90,"タイプ5",""))))),2)</formula>
    </cfRule>
  </conditionalFormatting>
  <conditionalFormatting sqref="F12:F14">
    <cfRule type="expression" priority="8" dxfId="61" stopIfTrue="1">
      <formula>$F$14&lt;&gt;$K$12</formula>
    </cfRule>
  </conditionalFormatting>
  <conditionalFormatting sqref="G27">
    <cfRule type="expression" priority="12" dxfId="60" stopIfTrue="1">
      <formula>ROUND($D$27,2)&lt;&gt;ROUND(IF($I$10="H","―",ROUND(IF($I$2="住宅",$D$17*($I$27+1)/$I$27,$D$17+$D$19),1)),2)</formula>
    </cfRule>
  </conditionalFormatting>
  <conditionalFormatting sqref="G29">
    <cfRule type="expression" priority="16" dxfId="60" stopIfTrue="1">
      <formula>ROUND($D$29,2)&lt;&gt;ROUND(IF($I$10="H",$D$28,MAX($D$27:$D$28)),2)</formula>
    </cfRule>
  </conditionalFormatting>
  <conditionalFormatting sqref="E12:E14">
    <cfRule type="expression" priority="7" dxfId="61" stopIfTrue="1">
      <formula>$E$14&lt;&gt;$J$12</formula>
    </cfRule>
  </conditionalFormatting>
  <conditionalFormatting sqref="D12:D14">
    <cfRule type="expression" priority="6" dxfId="61" stopIfTrue="1">
      <formula>$D$14&lt;&gt;$I$12</formula>
    </cfRule>
  </conditionalFormatting>
  <conditionalFormatting sqref="G26">
    <cfRule type="expression" priority="11" dxfId="61" stopIfTrue="1">
      <formula>ROUND($D$26,1)&lt;&gt;ROUND(SUM($D$25:$F$25),1)</formula>
    </cfRule>
  </conditionalFormatting>
  <conditionalFormatting sqref="D16:F16">
    <cfRule type="expression" priority="5" dxfId="62">
      <formula>MATCH(D12,$Q$1:$Q$8,0)&lt;=5</formula>
    </cfRule>
  </conditionalFormatting>
  <conditionalFormatting sqref="D16 D12">
    <cfRule type="expression" priority="4" dxfId="61">
      <formula>OR(AND($D$12=$Q$6,$D$16&gt;=0.6),AND($D$12=$Q$7,$D$16&lt;0.6))</formula>
    </cfRule>
  </conditionalFormatting>
  <conditionalFormatting sqref="E16 E12">
    <cfRule type="expression" priority="3" dxfId="61" stopIfTrue="1">
      <formula>OR(AND($E$12=$Q$6,$E$16&gt;=0.6),AND($E$12=$Q$7,$E$16&lt;0.6))</formula>
    </cfRule>
  </conditionalFormatting>
  <conditionalFormatting sqref="F16 F12">
    <cfRule type="expression" priority="2" dxfId="61" stopIfTrue="1">
      <formula>OR(AND($F$12=$Q$6,$F$16&gt;=0.6),AND($F$12=$Q$7,$F$16&lt;0.6))</formula>
    </cfRule>
  </conditionalFormatting>
  <conditionalFormatting sqref="C19:F20">
    <cfRule type="expression" priority="1" dxfId="62" stopIfTrue="1">
      <formula>$I$2="住宅"</formula>
    </cfRule>
  </conditionalFormatting>
  <dataValidations count="4">
    <dataValidation type="list" allowBlank="1" showInputMessage="1" showErrorMessage="1" sqref="D13:F13">
      <formula1>$R$2:$R$5</formula1>
    </dataValidation>
    <dataValidation type="list" allowBlank="1" showInputMessage="1" showErrorMessage="1" sqref="D10">
      <formula1>$P$2:$P$10</formula1>
    </dataValidation>
    <dataValidation type="list" allowBlank="1" showInputMessage="1" showErrorMessage="1" sqref="D12:F12">
      <formula1>$Q$2:$Q$9</formula1>
    </dataValidation>
    <dataValidation type="list" allowBlank="1" showInputMessage="1" showErrorMessage="1" sqref="I2">
      <formula1>"住宅,非住宅建築物"</formula1>
    </dataValidation>
  </dataValidation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E41"/>
  <sheetViews>
    <sheetView zoomScaleSheetLayoutView="90" workbookViewId="0" topLeftCell="A1">
      <selection activeCell="A1" sqref="A1"/>
    </sheetView>
  </sheetViews>
  <sheetFormatPr defaultColWidth="8.875" defaultRowHeight="13.5"/>
  <cols>
    <col min="1" max="1" width="0.5" style="9" customWidth="1"/>
    <col min="2" max="2" width="39.875" style="9" customWidth="1"/>
    <col min="3" max="3" width="14.00390625" style="9" customWidth="1"/>
    <col min="4" max="6" width="17.50390625" style="9" customWidth="1"/>
    <col min="7" max="7" width="59.875" style="9" customWidth="1"/>
    <col min="8" max="8" width="0.875" style="9" customWidth="1"/>
    <col min="9" max="9" width="10.125" style="113" bestFit="1" customWidth="1"/>
    <col min="10" max="10" width="9.375" style="102" bestFit="1"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75390625" style="102" bestFit="1" customWidth="1"/>
    <col min="22" max="22" width="17.625" style="102" customWidth="1"/>
    <col min="23" max="24" width="22.125" style="102" bestFit="1" customWidth="1"/>
    <col min="25" max="25" width="9.50390625" style="102" bestFit="1" customWidth="1"/>
    <col min="26" max="26" width="9.50390625" style="102" customWidth="1"/>
    <col min="27" max="27" width="17.125" style="102" bestFit="1" customWidth="1"/>
    <col min="28" max="29" width="8.875" style="102" customWidth="1"/>
    <col min="30" max="30" width="8.875" style="103" customWidth="1"/>
    <col min="31" max="16384" width="8.875" style="9" customWidth="1"/>
  </cols>
  <sheetData>
    <row r="1" spans="1:31" ht="13.5" thickBot="1">
      <c r="A1" s="4"/>
      <c r="B1" s="4"/>
      <c r="C1" s="4"/>
      <c r="D1" s="5"/>
      <c r="E1" s="37"/>
      <c r="F1" s="37"/>
      <c r="G1" s="3"/>
      <c r="H1" s="3"/>
      <c r="I1" s="89"/>
      <c r="J1" s="90"/>
      <c r="K1" s="90"/>
      <c r="L1" s="90"/>
      <c r="M1" s="90"/>
      <c r="N1" s="90"/>
      <c r="O1" s="91"/>
      <c r="P1" s="91" t="s">
        <v>15</v>
      </c>
      <c r="Q1" s="91" t="s">
        <v>24</v>
      </c>
      <c r="R1" s="91" t="s">
        <v>28</v>
      </c>
      <c r="S1" s="91" t="s">
        <v>79</v>
      </c>
      <c r="T1" s="91" t="s">
        <v>80</v>
      </c>
      <c r="U1" s="91" t="s">
        <v>6</v>
      </c>
      <c r="V1" s="91" t="s">
        <v>63</v>
      </c>
      <c r="W1" s="91" t="s">
        <v>86</v>
      </c>
      <c r="X1" s="91" t="s">
        <v>87</v>
      </c>
      <c r="Y1" s="91" t="s">
        <v>5</v>
      </c>
      <c r="Z1" s="91" t="s">
        <v>64</v>
      </c>
      <c r="AA1" s="91" t="s">
        <v>12</v>
      </c>
      <c r="AB1" s="91"/>
      <c r="AC1" s="106"/>
      <c r="AD1" s="107"/>
      <c r="AE1" s="107"/>
    </row>
    <row r="2" spans="1:31" ht="27" customHeight="1" thickTop="1">
      <c r="A2" s="4"/>
      <c r="B2" s="108" t="str">
        <f>"【"&amp;$I$2&amp;"用】 地中熱交換器タイプ確認シート(Ver.3.1)"</f>
        <v>【住宅用】 地中熱交換器タイプ確認シート(Ver.3.1)</v>
      </c>
      <c r="C2" s="34"/>
      <c r="D2" s="1"/>
      <c r="E2" s="1"/>
      <c r="F2" s="1" t="s">
        <v>1</v>
      </c>
      <c r="G2" s="54" t="s">
        <v>152</v>
      </c>
      <c r="H2" s="109"/>
      <c r="I2" s="93" t="s">
        <v>132</v>
      </c>
      <c r="J2" s="94"/>
      <c r="K2" s="94"/>
      <c r="L2" s="95"/>
      <c r="M2" s="95"/>
      <c r="N2" s="95"/>
      <c r="O2" s="94"/>
      <c r="P2" s="94"/>
      <c r="Q2" s="94"/>
      <c r="R2" s="94"/>
      <c r="S2" s="94"/>
      <c r="T2" s="94"/>
      <c r="U2" s="94"/>
      <c r="V2" s="94"/>
      <c r="W2" s="94"/>
      <c r="X2" s="94"/>
      <c r="Y2" s="94"/>
      <c r="Z2" s="94"/>
      <c r="AA2" s="94"/>
      <c r="AB2" s="94"/>
      <c r="AC2" s="110"/>
      <c r="AD2" s="111"/>
      <c r="AE2" s="107"/>
    </row>
    <row r="3" spans="1:31" ht="27" customHeight="1" thickBot="1">
      <c r="A3" s="4"/>
      <c r="C3" s="4"/>
      <c r="D3" s="1"/>
      <c r="E3" s="1"/>
      <c r="F3" s="1" t="s">
        <v>0</v>
      </c>
      <c r="G3" s="128" t="s">
        <v>153</v>
      </c>
      <c r="H3" s="109"/>
      <c r="I3" s="129" t="str">
        <f ca="1">RIGHT(CELL("filename",I3),LEN(CELL("filename",I3))-FIND("]",CELL("filename",I3)))</f>
        <v>【Ver.3.1記入例】</v>
      </c>
      <c r="J3" s="94"/>
      <c r="K3" s="94"/>
      <c r="L3" s="95"/>
      <c r="M3" s="95"/>
      <c r="N3" s="95"/>
      <c r="O3" s="94"/>
      <c r="P3" s="94" t="s">
        <v>16</v>
      </c>
      <c r="Q3" s="94" t="s">
        <v>25</v>
      </c>
      <c r="R3" s="94" t="s">
        <v>4</v>
      </c>
      <c r="S3" s="97" t="s">
        <v>82</v>
      </c>
      <c r="T3" s="94" t="s">
        <v>81</v>
      </c>
      <c r="U3" s="94">
        <v>1.3957</v>
      </c>
      <c r="V3" s="94">
        <v>0</v>
      </c>
      <c r="W3" s="97" t="s">
        <v>88</v>
      </c>
      <c r="X3" s="94"/>
      <c r="Y3" s="94">
        <v>-0.481</v>
      </c>
      <c r="Z3" s="94">
        <v>0</v>
      </c>
      <c r="AA3" s="94">
        <v>1.2</v>
      </c>
      <c r="AB3" s="94"/>
      <c r="AC3" s="110"/>
      <c r="AD3" s="111"/>
      <c r="AE3" s="107"/>
    </row>
    <row r="4" spans="2:31" ht="13.5" thickTop="1">
      <c r="B4" s="11"/>
      <c r="C4" s="11"/>
      <c r="D4" s="11"/>
      <c r="E4" s="11"/>
      <c r="F4" s="11"/>
      <c r="G4" s="11"/>
      <c r="I4" s="93"/>
      <c r="J4" s="94"/>
      <c r="K4" s="94"/>
      <c r="L4" s="94"/>
      <c r="M4" s="94"/>
      <c r="N4" s="94"/>
      <c r="O4" s="94"/>
      <c r="P4" s="94" t="s">
        <v>17</v>
      </c>
      <c r="Q4" s="94" t="s">
        <v>26</v>
      </c>
      <c r="R4" s="94" t="s">
        <v>29</v>
      </c>
      <c r="S4" s="94" t="s">
        <v>83</v>
      </c>
      <c r="T4" s="94" t="s">
        <v>81</v>
      </c>
      <c r="U4" s="94">
        <v>1.81441</v>
      </c>
      <c r="V4" s="94">
        <v>0</v>
      </c>
      <c r="W4" s="97" t="s">
        <v>88</v>
      </c>
      <c r="X4" s="94"/>
      <c r="Y4" s="94">
        <v>-0.481</v>
      </c>
      <c r="Z4" s="94">
        <v>0</v>
      </c>
      <c r="AA4" s="94">
        <v>1.2</v>
      </c>
      <c r="AB4" s="94"/>
      <c r="AC4" s="110"/>
      <c r="AD4" s="111"/>
      <c r="AE4" s="107"/>
    </row>
    <row r="5" spans="1:31" ht="18" customHeight="1" thickBot="1">
      <c r="A5" s="12"/>
      <c r="B5" s="13" t="s">
        <v>46</v>
      </c>
      <c r="C5" s="14"/>
      <c r="D5" s="13" t="str">
        <f>IF($I$2="非住宅建築物","熱源・空調系統名：","")&amp;IF($I$2="住宅","暖冷房する室等（参考入力）：","")</f>
        <v>暖冷房する室等（参考入力）：</v>
      </c>
      <c r="E5" s="38"/>
      <c r="F5" s="38"/>
      <c r="G5" s="15"/>
      <c r="I5" s="93"/>
      <c r="J5" s="94"/>
      <c r="K5" s="94"/>
      <c r="L5" s="94"/>
      <c r="M5" s="94"/>
      <c r="N5" s="94"/>
      <c r="O5" s="94"/>
      <c r="P5" s="94" t="s">
        <v>18</v>
      </c>
      <c r="Q5" s="94" t="s">
        <v>27</v>
      </c>
      <c r="R5" s="94" t="s">
        <v>30</v>
      </c>
      <c r="S5" s="94" t="s">
        <v>84</v>
      </c>
      <c r="T5" s="94" t="s">
        <v>81</v>
      </c>
      <c r="U5" s="94">
        <v>1.6938870000000001</v>
      </c>
      <c r="V5" s="94">
        <v>0</v>
      </c>
      <c r="W5" s="97" t="s">
        <v>89</v>
      </c>
      <c r="X5" s="94"/>
      <c r="Y5" s="94">
        <v>-0.439</v>
      </c>
      <c r="Z5" s="94">
        <v>0</v>
      </c>
      <c r="AA5" s="94">
        <v>0.7</v>
      </c>
      <c r="AB5" s="94"/>
      <c r="AC5" s="110"/>
      <c r="AD5" s="111"/>
      <c r="AE5" s="107"/>
    </row>
    <row r="6" spans="1:31" ht="27" customHeight="1" thickBot="1" thickTop="1">
      <c r="A6" s="12"/>
      <c r="B6" s="147" t="s">
        <v>134</v>
      </c>
      <c r="C6" s="149"/>
      <c r="D6" s="147" t="s">
        <v>135</v>
      </c>
      <c r="E6" s="148"/>
      <c r="F6" s="148"/>
      <c r="G6" s="149"/>
      <c r="H6" s="109"/>
      <c r="I6" s="93"/>
      <c r="J6" s="94"/>
      <c r="K6" s="94"/>
      <c r="L6" s="94"/>
      <c r="M6" s="94"/>
      <c r="N6" s="94"/>
      <c r="O6" s="94"/>
      <c r="P6" s="94" t="s">
        <v>19</v>
      </c>
      <c r="Q6" s="94" t="s">
        <v>113</v>
      </c>
      <c r="R6" s="94"/>
      <c r="S6" s="97" t="s">
        <v>99</v>
      </c>
      <c r="T6" s="97" t="s">
        <v>104</v>
      </c>
      <c r="U6" s="94">
        <v>1.2344</v>
      </c>
      <c r="V6" s="94">
        <v>-0.5953</v>
      </c>
      <c r="W6" s="97" t="s">
        <v>106</v>
      </c>
      <c r="X6" s="97" t="s">
        <v>107</v>
      </c>
      <c r="Y6" s="97">
        <v>-0.2383</v>
      </c>
      <c r="Z6" s="97">
        <v>0.0475</v>
      </c>
      <c r="AA6" s="94">
        <v>1.2</v>
      </c>
      <c r="AB6" s="94"/>
      <c r="AC6" s="110"/>
      <c r="AD6" s="111"/>
      <c r="AE6" s="107"/>
    </row>
    <row r="7" spans="2:31" ht="14.25" customHeight="1" thickTop="1">
      <c r="B7" s="17"/>
      <c r="C7" s="17"/>
      <c r="D7" s="17"/>
      <c r="E7" s="17"/>
      <c r="F7" s="17"/>
      <c r="G7" s="17"/>
      <c r="H7" s="109"/>
      <c r="I7" s="93"/>
      <c r="J7" s="94"/>
      <c r="K7" s="94"/>
      <c r="L7" s="94"/>
      <c r="M7" s="94"/>
      <c r="N7" s="94"/>
      <c r="O7" s="94"/>
      <c r="P7" s="94" t="s">
        <v>20</v>
      </c>
      <c r="Q7" s="94" t="s">
        <v>114</v>
      </c>
      <c r="R7" s="94"/>
      <c r="S7" s="97" t="s">
        <v>105</v>
      </c>
      <c r="T7" s="97" t="s">
        <v>101</v>
      </c>
      <c r="U7" s="94">
        <v>1.0246</v>
      </c>
      <c r="V7" s="97">
        <v>-0.2606</v>
      </c>
      <c r="W7" s="97" t="s">
        <v>108</v>
      </c>
      <c r="X7" s="97" t="s">
        <v>109</v>
      </c>
      <c r="Y7" s="97">
        <v>-0.2943</v>
      </c>
      <c r="Z7" s="97">
        <v>0.0613</v>
      </c>
      <c r="AA7" s="94">
        <v>1.2</v>
      </c>
      <c r="AB7" s="94"/>
      <c r="AC7" s="110"/>
      <c r="AD7" s="111"/>
      <c r="AE7" s="107"/>
    </row>
    <row r="8" spans="2:31" ht="18" customHeight="1">
      <c r="B8" s="11" t="s">
        <v>3</v>
      </c>
      <c r="C8" s="11"/>
      <c r="D8" s="11"/>
      <c r="E8" s="11"/>
      <c r="F8" s="11"/>
      <c r="G8" s="11"/>
      <c r="H8" s="109"/>
      <c r="I8" s="93"/>
      <c r="J8" s="94"/>
      <c r="K8" s="94"/>
      <c r="L8" s="94"/>
      <c r="M8" s="94"/>
      <c r="N8" s="94"/>
      <c r="O8" s="94"/>
      <c r="P8" s="94" t="s">
        <v>21</v>
      </c>
      <c r="Q8" s="94" t="s">
        <v>65</v>
      </c>
      <c r="R8" s="94"/>
      <c r="S8" s="94" t="s">
        <v>85</v>
      </c>
      <c r="T8" s="97" t="s">
        <v>102</v>
      </c>
      <c r="U8" s="94">
        <v>1.6275</v>
      </c>
      <c r="V8" s="94">
        <f>-0.881</f>
        <v>-0.881</v>
      </c>
      <c r="W8" s="97" t="s">
        <v>90</v>
      </c>
      <c r="X8" s="97" t="s">
        <v>110</v>
      </c>
      <c r="Y8" s="97">
        <v>-0.6618</v>
      </c>
      <c r="Z8" s="94">
        <f>0.055</f>
        <v>0.055</v>
      </c>
      <c r="AA8" s="94">
        <v>1.2</v>
      </c>
      <c r="AB8" s="94"/>
      <c r="AC8" s="110"/>
      <c r="AD8" s="111"/>
      <c r="AE8" s="107"/>
    </row>
    <row r="9" spans="1:31" ht="18" customHeight="1" thickBot="1">
      <c r="A9" s="12"/>
      <c r="B9" s="18" t="s">
        <v>7</v>
      </c>
      <c r="C9" s="150" t="s">
        <v>62</v>
      </c>
      <c r="D9" s="151"/>
      <c r="E9" s="151"/>
      <c r="F9" s="152"/>
      <c r="G9" s="19" t="s">
        <v>31</v>
      </c>
      <c r="I9" s="98">
        <f>IF(D12="","",MATCH(D$12,$Q$1:$Q$9,0))</f>
        <v>3</v>
      </c>
      <c r="J9" s="99">
        <f>IF(E12="","",MATCH(E$12,$Q$1:$Q$9,0))</f>
        <v>5</v>
      </c>
      <c r="K9" s="99">
        <f>IF(F12="","",MATCH(F$12,$Q$1:$Q$9,0))</f>
      </c>
      <c r="L9" s="94"/>
      <c r="M9" s="94"/>
      <c r="N9" s="94"/>
      <c r="O9" s="94"/>
      <c r="P9" s="94" t="s">
        <v>22</v>
      </c>
      <c r="Q9" s="94" t="s">
        <v>115</v>
      </c>
      <c r="R9" s="94"/>
      <c r="S9" s="94" t="s">
        <v>100</v>
      </c>
      <c r="T9" s="97" t="s">
        <v>103</v>
      </c>
      <c r="U9" s="94">
        <v>1.9231</v>
      </c>
      <c r="V9" s="94">
        <v>-1.0518</v>
      </c>
      <c r="W9" s="97" t="s">
        <v>111</v>
      </c>
      <c r="X9" s="97" t="s">
        <v>112</v>
      </c>
      <c r="Y9" s="97">
        <v>-0.6564</v>
      </c>
      <c r="Z9" s="97">
        <v>0.2325</v>
      </c>
      <c r="AA9" s="94">
        <v>1.2</v>
      </c>
      <c r="AB9" s="94"/>
      <c r="AC9" s="110"/>
      <c r="AD9" s="111"/>
      <c r="AE9" s="107"/>
    </row>
    <row r="10" spans="1:31" ht="27" customHeight="1" thickBot="1" thickTop="1">
      <c r="A10" s="12"/>
      <c r="B10" s="35" t="s">
        <v>14</v>
      </c>
      <c r="C10" s="40" t="s">
        <v>37</v>
      </c>
      <c r="D10" s="153" t="s">
        <v>19</v>
      </c>
      <c r="E10" s="154"/>
      <c r="F10" s="155"/>
      <c r="G10" s="42" t="s">
        <v>126</v>
      </c>
      <c r="I10" s="98" t="str">
        <f>IF(OR($D$10="1地域",$D$10="2地域",$D$10="3地域",AND($I$2="住宅",$D$10="4地域")),"H","maxHC")</f>
        <v>H</v>
      </c>
      <c r="J10" s="94"/>
      <c r="K10" s="94"/>
      <c r="L10" s="94"/>
      <c r="M10" s="94"/>
      <c r="N10" s="94"/>
      <c r="O10" s="94"/>
      <c r="P10" s="94" t="s">
        <v>23</v>
      </c>
      <c r="Q10" s="94"/>
      <c r="R10" s="94"/>
      <c r="S10" s="94"/>
      <c r="T10" s="94"/>
      <c r="U10" s="94"/>
      <c r="V10" s="94"/>
      <c r="W10" s="94"/>
      <c r="X10" s="94"/>
      <c r="Y10" s="94"/>
      <c r="Z10" s="94"/>
      <c r="AA10" s="94"/>
      <c r="AB10" s="94"/>
      <c r="AC10" s="110"/>
      <c r="AD10" s="111"/>
      <c r="AE10" s="107"/>
    </row>
    <row r="11" spans="1:31" ht="59.25" customHeight="1" thickBot="1" thickTop="1">
      <c r="A11" s="12"/>
      <c r="B11" s="156" t="s">
        <v>44</v>
      </c>
      <c r="C11" s="157"/>
      <c r="D11" s="50" t="s">
        <v>40</v>
      </c>
      <c r="E11" s="50" t="s">
        <v>41</v>
      </c>
      <c r="F11" s="50" t="s">
        <v>42</v>
      </c>
      <c r="G11" s="44" t="s">
        <v>127</v>
      </c>
      <c r="I11" s="98"/>
      <c r="J11" s="94"/>
      <c r="K11" s="94"/>
      <c r="L11" s="94"/>
      <c r="M11" s="94"/>
      <c r="N11" s="94"/>
      <c r="O11" s="94"/>
      <c r="P11" s="94"/>
      <c r="Q11" s="94"/>
      <c r="R11" s="94"/>
      <c r="S11" s="94"/>
      <c r="T11" s="94"/>
      <c r="U11" s="94"/>
      <c r="V11" s="94"/>
      <c r="W11" s="94"/>
      <c r="X11" s="94"/>
      <c r="Y11" s="94"/>
      <c r="Z11" s="94"/>
      <c r="AA11" s="94"/>
      <c r="AB11" s="94"/>
      <c r="AC11" s="110"/>
      <c r="AD11" s="111"/>
      <c r="AE11" s="107"/>
    </row>
    <row r="12" spans="1:31" ht="71.25" customHeight="1" thickBot="1" thickTop="1">
      <c r="A12" s="12"/>
      <c r="B12" s="35" t="s">
        <v>136</v>
      </c>
      <c r="C12" s="40" t="s">
        <v>37</v>
      </c>
      <c r="D12" s="114" t="s">
        <v>25</v>
      </c>
      <c r="E12" s="114" t="s">
        <v>43</v>
      </c>
      <c r="F12" s="115"/>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3">
        <f ca="1">IF($D$13=$R$5,INDIRECT(ADDRESS(MATCH('【Ver.3.1記入例】'!$D$12,$Q$1:$Q$9,0),COLUMN($AA$1))),$D$14)</f>
        <v>1.7</v>
      </c>
      <c r="J12" s="94">
        <f ca="1">IF($E$13=$R$5,INDIRECT(ADDRESS(MATCH('【Ver.3.1記入例】'!$E$12,$Q$1:$Q$9,0),COLUMN($AA$1))),$E$14)</f>
        <v>0.7</v>
      </c>
      <c r="K12" s="94">
        <f ca="1">IF($F$13=$R$5,INDIRECT(ADDRESS(MATCH('【Ver.3.1記入例】'!$F$12,$Q$1:$Q$9,0),COLUMN($AA$1))),$F$14)</f>
        <v>0</v>
      </c>
      <c r="L12" s="94"/>
      <c r="M12" s="94"/>
      <c r="N12" s="94"/>
      <c r="O12" s="94"/>
      <c r="P12" s="94"/>
      <c r="Q12" s="94"/>
      <c r="R12" s="94"/>
      <c r="S12" s="94"/>
      <c r="T12" s="94"/>
      <c r="U12" s="94"/>
      <c r="V12" s="94"/>
      <c r="W12" s="94"/>
      <c r="X12" s="94"/>
      <c r="Y12" s="94"/>
      <c r="Z12" s="94"/>
      <c r="AA12" s="94"/>
      <c r="AB12" s="94"/>
      <c r="AC12" s="110"/>
      <c r="AD12" s="111"/>
      <c r="AE12" s="107"/>
    </row>
    <row r="13" spans="1:31" ht="58.5" customHeight="1" thickBot="1" thickTop="1">
      <c r="A13" s="12"/>
      <c r="B13" s="21" t="s">
        <v>140</v>
      </c>
      <c r="C13" s="46" t="s">
        <v>38</v>
      </c>
      <c r="D13" s="116" t="s">
        <v>4</v>
      </c>
      <c r="E13" s="116" t="s">
        <v>30</v>
      </c>
      <c r="F13" s="116"/>
      <c r="G13" s="141"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※【構成2】「水平埋設型」において、デフォルト値のλを使う場合は、λ=0.7とする</v>
      </c>
      <c r="H13" s="109"/>
      <c r="I13" s="93">
        <f ca="1">INDIRECT(ADDRESS(I$9,COLUMN($U$1)))+INDIRECT(ADDRESS(I$9,COLUMN($V$1)))*D16</f>
        <v>1.3957</v>
      </c>
      <c r="J13" s="94">
        <f ca="1">INDIRECT(ADDRESS(J$9,COLUMN($U$1)))+INDIRECT(ADDRESS(J$9,COLUMN($V$1)))*E16</f>
        <v>1.6938870000000001</v>
      </c>
      <c r="K13" s="94" t="e">
        <f ca="1">INDIRECT(ADDRESS(K$9,COLUMN($U$1)))+INDIRECT(ADDRESS(K$9,COLUMN($V$1)))*F16</f>
        <v>#VALUE!</v>
      </c>
      <c r="L13" s="94"/>
      <c r="M13" s="94"/>
      <c r="N13" s="94"/>
      <c r="O13" s="94"/>
      <c r="P13" s="94"/>
      <c r="Q13" s="94"/>
      <c r="R13" s="94"/>
      <c r="S13" s="94"/>
      <c r="T13" s="94"/>
      <c r="U13" s="94"/>
      <c r="V13" s="94"/>
      <c r="W13" s="94"/>
      <c r="X13" s="94"/>
      <c r="Y13" s="94"/>
      <c r="Z13" s="94"/>
      <c r="AA13" s="94"/>
      <c r="AB13" s="94"/>
      <c r="AC13" s="110"/>
      <c r="AD13" s="111"/>
      <c r="AE13" s="107"/>
    </row>
    <row r="14" spans="1:31" ht="127.5" customHeight="1" thickBot="1" thickTop="1">
      <c r="A14" s="12"/>
      <c r="B14" s="22"/>
      <c r="C14" s="120" t="str">
        <f>"λ"&amp;IF($I$2="住宅"," gnd,","")&amp;"i"&amp;IF($I$2="住宅","  "&amp;CHAR(10),"")&amp;" [W/(mK)]="</f>
        <v>λ gnd,i  
 [W/(mK)]=</v>
      </c>
      <c r="D14" s="117">
        <v>1.7</v>
      </c>
      <c r="E14" s="117">
        <v>0.7</v>
      </c>
      <c r="F14" s="117"/>
      <c r="G14" s="158"/>
      <c r="H14" s="109"/>
      <c r="I14" s="93">
        <f ca="1">INDIRECT(ADDRESS(I$9,COLUMN($Y$1)))+INDIRECT(ADDRESS(I$9,COLUMN($Z$1)))*D16</f>
        <v>-0.481</v>
      </c>
      <c r="J14" s="94">
        <f ca="1">INDIRECT(ADDRESS(J$9,COLUMN($Y$1)))+INDIRECT(ADDRESS(J$9,COLUMN($Z$1)))*E16</f>
        <v>-0.439</v>
      </c>
      <c r="K14" s="94" t="e">
        <f ca="1">INDIRECT(ADDRESS(K$9,COLUMN($Y$1)))+INDIRECT(ADDRESS(K$9,COLUMN($Z$1)))*F16</f>
        <v>#VALUE!</v>
      </c>
      <c r="L14" s="94"/>
      <c r="M14" s="94"/>
      <c r="N14" s="94"/>
      <c r="O14" s="94"/>
      <c r="P14" s="94"/>
      <c r="Q14" s="94"/>
      <c r="R14" s="94"/>
      <c r="S14" s="94"/>
      <c r="T14" s="94"/>
      <c r="U14" s="94"/>
      <c r="V14" s="94"/>
      <c r="W14" s="94"/>
      <c r="X14" s="94"/>
      <c r="Y14" s="94"/>
      <c r="Z14" s="94"/>
      <c r="AA14" s="94"/>
      <c r="AB14" s="94"/>
      <c r="AC14" s="110"/>
      <c r="AD14" s="111"/>
      <c r="AE14" s="107"/>
    </row>
    <row r="15" spans="1:31" ht="99.75" customHeight="1" thickBot="1" thickTop="1">
      <c r="A15" s="12"/>
      <c r="B15" s="33" t="s">
        <v>139</v>
      </c>
      <c r="C15" s="121" t="str">
        <f>"L"&amp;IF($I$2="住宅"," exch,","")&amp;"i [m]="</f>
        <v>L exch,i [m]=</v>
      </c>
      <c r="D15" s="118">
        <v>180</v>
      </c>
      <c r="E15" s="118">
        <v>20</v>
      </c>
      <c r="F15" s="118"/>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※「ダブルUチューブ」では地中熱交換器の長さの合計とする。
※「水平埋設型」では地中熱交換器を埋設するトレンチの水平方向長さの合計とする。
※地中熱交換器長は四捨五入して整数とした値で入力するものとする。</v>
      </c>
      <c r="H15" s="112"/>
      <c r="I15" s="93"/>
      <c r="J15" s="94"/>
      <c r="K15" s="94"/>
      <c r="L15" s="94"/>
      <c r="M15" s="94"/>
      <c r="N15" s="94"/>
      <c r="O15" s="94"/>
      <c r="P15" s="94"/>
      <c r="Q15" s="94"/>
      <c r="R15" s="94"/>
      <c r="S15" s="94"/>
      <c r="T15" s="94"/>
      <c r="U15" s="94"/>
      <c r="V15" s="94"/>
      <c r="W15" s="94"/>
      <c r="X15" s="94"/>
      <c r="Y15" s="94"/>
      <c r="Z15" s="94"/>
      <c r="AA15" s="94"/>
      <c r="AB15" s="94"/>
      <c r="AC15" s="110"/>
      <c r="AD15" s="111"/>
      <c r="AE15" s="107"/>
    </row>
    <row r="16" spans="1:31" ht="108.75" customHeight="1" thickBot="1" thickTop="1">
      <c r="A16" s="12"/>
      <c r="B16" s="84" t="s">
        <v>137</v>
      </c>
      <c r="C16" s="122" t="str">
        <f>"d"&amp;IF($I$2="住宅"," exch,","")&amp;"i [m]="</f>
        <v>d exch,i [m]=</v>
      </c>
      <c r="D16" s="119"/>
      <c r="E16" s="119"/>
      <c r="F16" s="119"/>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112"/>
      <c r="I16" s="93"/>
      <c r="J16" s="94"/>
      <c r="K16" s="94"/>
      <c r="L16" s="94"/>
      <c r="M16" s="94"/>
      <c r="N16" s="94"/>
      <c r="O16" s="94"/>
      <c r="P16" s="94"/>
      <c r="Q16" s="94"/>
      <c r="R16" s="94"/>
      <c r="S16" s="94"/>
      <c r="T16" s="94"/>
      <c r="U16" s="94"/>
      <c r="V16" s="94"/>
      <c r="W16" s="94"/>
      <c r="X16" s="94"/>
      <c r="Y16" s="94"/>
      <c r="Z16" s="94"/>
      <c r="AA16" s="94"/>
      <c r="AB16" s="94"/>
      <c r="AC16" s="110"/>
      <c r="AD16" s="111"/>
      <c r="AE16" s="107"/>
    </row>
    <row r="17" spans="1:31" ht="42" customHeight="1" thickBot="1" thickTop="1">
      <c r="A17" s="12"/>
      <c r="B17" s="25" t="s">
        <v>141</v>
      </c>
      <c r="C17" s="123" t="str">
        <f>"冷房時："&amp;CHAR(10)&amp;"q"&amp;IF($I$2="住宅"," rtd,C,hs","c")&amp;" [kW]="</f>
        <v>冷房時：
q rtd,C,hs [kW]=</v>
      </c>
      <c r="D17" s="140">
        <v>10</v>
      </c>
      <c r="E17" s="140"/>
      <c r="F17" s="140"/>
      <c r="G17" s="141" t="str">
        <f>IF($I$2="住宅","※地中熱ヒートポンプの定格性能を入力する。入力値は、"&amp;"冷房時についてはJRA 4071:2017「ヒートポンプ式温水暖房機」およびJRA 4066:2017「ウォーターチリングユニット」によって、暖房時についてはJRA 4071:2017「ヒートポンプ式温水暖房機」またはJRA 4066:2017「ウォーターチリングユニット」によって規定される定格条件における能力とする。"&amp;"ただし、JRA 4066:2017「ウォーターチリングユニット」の代わりとして、JIS B 8613:1994「ウォーターチリングユニット」を適用することができる。"&amp;CHAR(10)&amp;"※住宅では定格消費電力の入力は不要である(Ver.3.1以降)。","※地中熱ヒートポンプの定格性能を入力する。入力値は水－空気ヒートポンプについては、「JIS B 8616:2015 パッケージエアコンディショナ」の定格条件における値を、水－水ヒートポンプについては、「JIS B 8613:1994 ウォーターチリングユニット」または「JRA 4066:2014 ウォーターチリングユニット」の定格条件における値を入力する。ただし、循環ポンプを内蔵した機種では、ポンプ動力を除外した値を入力する。")</f>
        <v>※地中熱ヒートポンプの定格性能を入力する。入力値は、冷房時についてはJRA 4071:2017「ヒートポンプ式温水暖房機」およびJRA 4066:2017「ウォーターチリングユニット」によって、暖房時についてはJRA 4071:2017「ヒートポンプ式温水暖房機」またはJRA 4066:2017「ウォーターチリングユニット」によって規定される定格条件における能力とする。ただし、JRA 4066:2017「ウォーターチリングユニット」の代わりとして、JIS B 8613:1994「ウォーターチリングユニット」を適用することができる。
※住宅では定格消費電力の入力は不要である(Ver.3.1以降)。</v>
      </c>
      <c r="H17" s="109"/>
      <c r="I17" s="93"/>
      <c r="J17" s="94"/>
      <c r="K17" s="94"/>
      <c r="L17" s="94"/>
      <c r="M17" s="94"/>
      <c r="N17" s="94"/>
      <c r="O17" s="94"/>
      <c r="P17" s="94"/>
      <c r="Q17" s="94"/>
      <c r="R17" s="94"/>
      <c r="S17" s="94"/>
      <c r="T17" s="94"/>
      <c r="U17" s="94"/>
      <c r="V17" s="94"/>
      <c r="W17" s="94"/>
      <c r="X17" s="94"/>
      <c r="Y17" s="94"/>
      <c r="Z17" s="94"/>
      <c r="AA17" s="94"/>
      <c r="AB17" s="94"/>
      <c r="AC17" s="110"/>
      <c r="AD17" s="111"/>
      <c r="AE17" s="107"/>
    </row>
    <row r="18" spans="1:31" ht="42" customHeight="1" thickBot="1" thickTop="1">
      <c r="A18" s="12"/>
      <c r="B18" s="22"/>
      <c r="C18" s="123" t="str">
        <f>"暖房時："&amp;CHAR(10)&amp;"q"&amp;IF($I$2="住宅"," rtd,H,hs","h")&amp;" [kW]="</f>
        <v>暖房時：
q rtd,H,hs [kW]=</v>
      </c>
      <c r="D18" s="140">
        <v>12.5</v>
      </c>
      <c r="E18" s="140"/>
      <c r="F18" s="140"/>
      <c r="G18" s="142"/>
      <c r="H18" s="109"/>
      <c r="I18" s="93"/>
      <c r="J18" s="94"/>
      <c r="K18" s="94"/>
      <c r="L18" s="94"/>
      <c r="M18" s="94"/>
      <c r="N18" s="94"/>
      <c r="O18" s="94"/>
      <c r="P18" s="94"/>
      <c r="Q18" s="94"/>
      <c r="R18" s="94"/>
      <c r="S18" s="94"/>
      <c r="T18" s="94"/>
      <c r="U18" s="94"/>
      <c r="V18" s="94"/>
      <c r="W18" s="94"/>
      <c r="X18" s="94"/>
      <c r="Y18" s="94"/>
      <c r="Z18" s="94"/>
      <c r="AA18" s="94"/>
      <c r="AB18" s="94"/>
      <c r="AC18" s="110"/>
      <c r="AD18" s="111"/>
      <c r="AE18" s="107"/>
    </row>
    <row r="19" spans="1:31" ht="42" customHeight="1" thickBot="1" thickTop="1">
      <c r="A19" s="12"/>
      <c r="B19" s="26" t="s">
        <v>142</v>
      </c>
      <c r="C19" s="125" t="s">
        <v>143</v>
      </c>
      <c r="D19" s="140"/>
      <c r="E19" s="140"/>
      <c r="F19" s="140"/>
      <c r="G19" s="142"/>
      <c r="H19" s="109"/>
      <c r="I19" s="93"/>
      <c r="J19" s="94"/>
      <c r="K19" s="94"/>
      <c r="L19" s="94"/>
      <c r="M19" s="94"/>
      <c r="N19" s="94"/>
      <c r="O19" s="94"/>
      <c r="P19" s="94"/>
      <c r="Q19" s="94"/>
      <c r="R19" s="94"/>
      <c r="S19" s="94"/>
      <c r="T19" s="94"/>
      <c r="U19" s="94"/>
      <c r="V19" s="94"/>
      <c r="W19" s="94"/>
      <c r="X19" s="94"/>
      <c r="Y19" s="94"/>
      <c r="Z19" s="94"/>
      <c r="AA19" s="94"/>
      <c r="AB19" s="94"/>
      <c r="AC19" s="110"/>
      <c r="AD19" s="111"/>
      <c r="AE19" s="107"/>
    </row>
    <row r="20" spans="1:31" ht="42" customHeight="1" thickBot="1" thickTop="1">
      <c r="A20" s="12"/>
      <c r="B20" s="22"/>
      <c r="C20" s="125" t="s">
        <v>144</v>
      </c>
      <c r="D20" s="140"/>
      <c r="E20" s="140"/>
      <c r="F20" s="140"/>
      <c r="G20" s="143"/>
      <c r="H20" s="109"/>
      <c r="I20" s="93" t="str">
        <f ca="1">IF(D$14&gt;0,INDIRECT(ADDRESS(I$9,COLUMN($S$1)))&amp;IF(INDIRECT(ADDRESS(I$9,COLUMN($V$1)))=0,"",ROUND(D16,3))&amp;INDIRECT(ADDRESS(I$9,COLUMN($T$1)))&amp;ROUND(D$14,1)&amp;"^("&amp;INDIRECT(ADDRESS(I$9,COLUMN($W$1)))&amp;IF(INDIRECT(ADDRESS(I$9,COLUMN($V$1)))=0,"",ROUND(D16,3)&amp;INDIRECT(ADDRESS(I$9,COLUMN($X$1))))&amp;")","")</f>
        <v>1.3957×1.7^(-0.481)</v>
      </c>
      <c r="J20" s="94"/>
      <c r="K20" s="94"/>
      <c r="L20" s="94"/>
      <c r="M20" s="94"/>
      <c r="N20" s="94"/>
      <c r="O20" s="94"/>
      <c r="P20" s="94"/>
      <c r="Q20" s="94"/>
      <c r="R20" s="94"/>
      <c r="S20" s="94"/>
      <c r="T20" s="94"/>
      <c r="U20" s="94"/>
      <c r="V20" s="94"/>
      <c r="W20" s="94"/>
      <c r="X20" s="94"/>
      <c r="Y20" s="94"/>
      <c r="Z20" s="94"/>
      <c r="AA20" s="94"/>
      <c r="AB20" s="94"/>
      <c r="AC20" s="110"/>
      <c r="AD20" s="111"/>
      <c r="AE20" s="107"/>
    </row>
    <row r="21" spans="4:31" ht="6" customHeight="1" thickTop="1">
      <c r="D21" s="17"/>
      <c r="E21" s="17"/>
      <c r="F21" s="17"/>
      <c r="G21" s="17"/>
      <c r="H21" s="109"/>
      <c r="I21" s="93"/>
      <c r="J21" s="94"/>
      <c r="K21" s="94"/>
      <c r="L21" s="94"/>
      <c r="M21" s="94"/>
      <c r="N21" s="94"/>
      <c r="O21" s="94"/>
      <c r="P21" s="94"/>
      <c r="Q21" s="94"/>
      <c r="R21" s="94"/>
      <c r="S21" s="94"/>
      <c r="T21" s="94"/>
      <c r="U21" s="94"/>
      <c r="V21" s="94"/>
      <c r="W21" s="94"/>
      <c r="X21" s="94"/>
      <c r="Y21" s="94"/>
      <c r="Z21" s="94"/>
      <c r="AA21" s="94"/>
      <c r="AB21" s="94"/>
      <c r="AC21" s="110"/>
      <c r="AD21" s="111"/>
      <c r="AE21" s="107"/>
    </row>
    <row r="22" spans="2:31" ht="18" customHeight="1">
      <c r="B22" s="17" t="s">
        <v>36</v>
      </c>
      <c r="C22" s="27"/>
      <c r="D22" s="17"/>
      <c r="E22" s="17"/>
      <c r="F22" s="17"/>
      <c r="G22" s="17"/>
      <c r="I22" s="93"/>
      <c r="J22" s="94" t="str">
        <f ca="1">IF(E$14&gt;0,INDIRECT(ADDRESS(J$9,COLUMN($S$1)))&amp;IF(INDIRECT(ADDRESS(J$9,COLUMN($V$1)))=0,"",ROUND(E16,3))&amp;INDIRECT(ADDRESS(J$9,COLUMN($T$1)))&amp;ROUND(E$14,1)&amp;"^("&amp;INDIRECT(ADDRESS(J$9,COLUMN($W$1)))&amp;IF(INDIRECT(ADDRESS(J$9,COLUMN($V$1)))=0,"",ROUND(E16,3)&amp;INDIRECT(ADDRESS(J$9,COLUMN($X$1))))&amp;")","")</f>
        <v>1.0023×1.3×1.3×0.7^(-0.439)</v>
      </c>
      <c r="K22" s="94"/>
      <c r="L22" s="94"/>
      <c r="M22" s="94"/>
      <c r="N22" s="94"/>
      <c r="O22" s="94"/>
      <c r="P22" s="94"/>
      <c r="Q22" s="94"/>
      <c r="R22" s="94"/>
      <c r="S22" s="94"/>
      <c r="T22" s="94"/>
      <c r="U22" s="94"/>
      <c r="V22" s="94"/>
      <c r="W22" s="94"/>
      <c r="X22" s="94"/>
      <c r="Y22" s="94"/>
      <c r="Z22" s="94"/>
      <c r="AA22" s="94"/>
      <c r="AB22" s="94"/>
      <c r="AC22" s="110"/>
      <c r="AD22" s="111"/>
      <c r="AE22" s="107"/>
    </row>
    <row r="23" spans="2:31" ht="27" customHeight="1">
      <c r="B23" s="18" t="s">
        <v>7</v>
      </c>
      <c r="C23" s="144" t="s">
        <v>61</v>
      </c>
      <c r="D23" s="145"/>
      <c r="E23" s="145"/>
      <c r="F23" s="146"/>
      <c r="G23" s="20" t="s">
        <v>138</v>
      </c>
      <c r="I23" s="93"/>
      <c r="J23" s="94"/>
      <c r="K23" s="94">
        <f ca="1">IF(F$14&gt;0,INDIRECT(ADDRESS(K$9,COLUMN($S$1)))&amp;IF(INDIRECT(ADDRESS(K$9,COLUMN($V$1)))=0,"",ROUND(F16,3))&amp;INDIRECT(ADDRESS(K$9,COLUMN($T$1)))&amp;ROUND(F$14,1)&amp;"^("&amp;INDIRECT(ADDRESS(K$9,COLUMN($W$1)))&amp;IF(INDIRECT(ADDRESS(K$9,COLUMN($V$1)))=0,"",ROUND(F16,3)&amp;INDIRECT(ADDRESS(K$9,COLUMN($X$1))))&amp;")","")</f>
      </c>
      <c r="L23" s="94"/>
      <c r="M23" s="94"/>
      <c r="N23" s="94"/>
      <c r="O23" s="94"/>
      <c r="P23" s="94"/>
      <c r="Q23" s="94"/>
      <c r="R23" s="94"/>
      <c r="S23" s="94"/>
      <c r="T23" s="94"/>
      <c r="U23" s="94"/>
      <c r="V23" s="94"/>
      <c r="W23" s="94"/>
      <c r="X23" s="94"/>
      <c r="Y23" s="94"/>
      <c r="Z23" s="94"/>
      <c r="AA23" s="94"/>
      <c r="AB23" s="94"/>
      <c r="AC23" s="110"/>
      <c r="AD23" s="111"/>
      <c r="AE23" s="107"/>
    </row>
    <row r="24" spans="1:31" ht="103.5" customHeight="1">
      <c r="A24" s="12"/>
      <c r="B24" s="21" t="s">
        <v>145</v>
      </c>
      <c r="C24" s="124" t="str">
        <f>"l"&amp;IF($I$2="住宅"," exch,","")&amp;"i [-]="</f>
        <v>l exch,i [-]=</v>
      </c>
      <c r="D24" s="87">
        <f>IF(D$14&lt;=0,"",ROUND(I13*ROUND(D$14,1)^I14,2))</f>
        <v>1.08</v>
      </c>
      <c r="E24" s="87">
        <f>IF(E$14&lt;=0,"",ROUND(J13*ROUND(E$14,1)^J14,2))</f>
        <v>1.98</v>
      </c>
      <c r="F24" s="87">
        <f>IF(F$14&lt;=0,"",ROUND(K13*ROUND(F$14,1)^K14,2))</f>
      </c>
      <c r="G24" s="126" t="str">
        <f>IF(D$14&gt;0,"l"&amp;IF($I$2="住宅"," exch,","")&amp;"1 = "&amp;I20&amp;" = "&amp;D24&amp;CHAR(10),"")&amp;IF(E$14&gt;0,"l"&amp;IF($I$2="住宅"," exch,","")&amp;"2 = "&amp;J22&amp;" = "&amp;E24&amp;CHAR(10),"")&amp;IF(F$14&gt;0,"l"&amp;IF($I$2="住宅"," exch,","")&amp;"3 = "&amp;K23&amp;" = "&amp;F24&amp;CHAR(10),"")&amp;IF(OR(D$14&gt;0,E$14&gt;0,F$14&gt;0),"※"&amp;"l"&amp;IF($I$2="住宅"," exch,","")&amp;"i "&amp;"は小数点以下2桁とする。","")</f>
        <v>l exch,1 = 1.3957×1.7^(-0.481) = 1.08
l exch,2 = 1.0023×1.3×1.3×0.7^(-0.439) = 1.98
※l exch,i は小数点以下2桁とする。</v>
      </c>
      <c r="I24" s="93" t="b">
        <f>OR(D$24&lt;&gt;IF(D$14&lt;=0,"",ROUND(I13*ROUND(D$14,1)^I14,2)),E$24&lt;&gt;IF(E$14&lt;=0,"",ROUND(J13*ROUND(E$14,1)^J14,2)),F$24&lt;&gt;IF(F$14&lt;=0,"",ROUND(K13*ROUND(F$14,1)^K14,2)))</f>
        <v>0</v>
      </c>
      <c r="J24" s="94"/>
      <c r="K24" s="94"/>
      <c r="L24" s="94"/>
      <c r="M24" s="94"/>
      <c r="N24" s="94"/>
      <c r="O24" s="94"/>
      <c r="P24" s="94"/>
      <c r="Q24" s="94"/>
      <c r="R24" s="94"/>
      <c r="S24" s="94"/>
      <c r="T24" s="94"/>
      <c r="U24" s="94"/>
      <c r="V24" s="94"/>
      <c r="W24" s="94"/>
      <c r="X24" s="94"/>
      <c r="Y24" s="94"/>
      <c r="Z24" s="94"/>
      <c r="AA24" s="94"/>
      <c r="AB24" s="94"/>
      <c r="AC24" s="110"/>
      <c r="AD24" s="111"/>
      <c r="AE24" s="107"/>
    </row>
    <row r="25" spans="1:28" ht="65.25" customHeight="1">
      <c r="A25" s="12"/>
      <c r="B25" s="31"/>
      <c r="C25" s="124" t="str">
        <f>"L'"&amp;IF($I$2="住宅","exch,","")&amp;"i [m]="</f>
        <v>L'exch,i [m]=</v>
      </c>
      <c r="D25" s="81">
        <f>IF(AND(D15&gt;0,D24&gt;0,D14&gt;0),ROUND(ROUND(D$15,0)/D$24,0),"")</f>
        <v>167</v>
      </c>
      <c r="E25" s="81">
        <f>IF(AND(E15&gt;0,E24&gt;0,E14&gt;0),ROUND(ROUND(E$15,0)/E$24,0),"")</f>
        <v>10</v>
      </c>
      <c r="F25" s="81">
        <f>IF(AND(F15&gt;0,F24&gt;0,F14&gt;0),ROUND(ROUND(F$15,0)/F$24,0),"")</f>
      </c>
      <c r="G25" s="126" t="str">
        <f>IF(AND(D15&gt;0,D24&gt;0,D14&gt;0),"L'"&amp;IF($I$2="住宅","exch,","")&amp;"1 = L"&amp;IF($I$2="住宅"," exch,","")&amp;"1／l"&amp;IF($I$2="住宅"," exch,","")&amp;"1 = "&amp;D$15&amp;"/"&amp;ROUND(D$24,2)&amp;" = "&amp;D25&amp;" [m]"&amp;CHAR(10),"")&amp;IF(AND(E15&gt;0,E24&gt;0,E14&gt;0),"L'"&amp;IF($I$2="住宅","exch,","")&amp;"2 = L"&amp;IF($I$2="住宅"," exch,","")&amp;"2／l"&amp;IF($I$2="住宅"," exch,","")&amp;"2 = "&amp;E$15&amp;"/"&amp;ROUND(E$24,2)&amp;" = "&amp;E25&amp;" [m]"&amp;CHAR(10),"")&amp;IF(AND(F15&gt;0,F24&gt;0,F14&gt;0),"L'"&amp;IF($I$2="住宅","exch,","")&amp;"3 = L"&amp;IF($I$2="住宅"," exch,","")&amp;"3／l"&amp;IF($I$2="住宅"," exch,","")&amp;"3 = "&amp;F$15&amp;"/"&amp;ROUND(F$24,2)&amp;" = "&amp;F25&amp;" [m]"&amp;CHAR(10),"")&amp;IF(OR(AND(D15&gt;0,D24&gt;0,D14&gt;0),AND(E15&gt;0,E24&gt;0,E14&gt;0),AND(F15&gt;0,F24&gt;0,F14&gt;0)),"※L'"&amp;IF($I$2="住宅","exch,","")&amp;"i は整数とする。","")</f>
        <v>L'exch,1 = L exch,1／l exch,1 = 180/1.08 = 167 [m]
L'exch,2 = L exch,2／l exch,2 = 20/1.98 = 10 [m]
※L'exch,i は整数とする。</v>
      </c>
      <c r="I25" s="130"/>
      <c r="J25" s="131"/>
      <c r="K25" s="131"/>
      <c r="L25" s="131"/>
      <c r="M25" s="131"/>
      <c r="N25" s="131"/>
      <c r="O25" s="131"/>
      <c r="P25" s="131"/>
      <c r="Q25" s="131"/>
      <c r="R25" s="131"/>
      <c r="S25" s="131"/>
      <c r="T25" s="131"/>
      <c r="U25" s="131"/>
      <c r="V25" s="131"/>
      <c r="W25" s="131"/>
      <c r="X25" s="131"/>
      <c r="Y25" s="131"/>
      <c r="Z25" s="131"/>
      <c r="AA25" s="131"/>
      <c r="AB25" s="131"/>
    </row>
    <row r="26" spans="1:28" ht="28.5" customHeight="1">
      <c r="A26" s="12"/>
      <c r="B26" s="22"/>
      <c r="C26" s="124" t="str">
        <f>"L'"&amp;IF($I$2="住宅","exch","")&amp;" [m]="</f>
        <v>L'exch [m]=</v>
      </c>
      <c r="D26" s="136">
        <f>IF(SUM(D25:F25)&gt;0,SUM(D25:F25),"")</f>
        <v>177</v>
      </c>
      <c r="E26" s="136"/>
      <c r="F26" s="136"/>
      <c r="G26" s="126" t="str">
        <f>IF(D26="","","L'"&amp;IF($I$2="住宅","exch","")&amp;" = Σ L'"&amp;IF($I$2="住宅","exch,","")&amp;"i ="&amp;IF(D25&lt;&gt;"",ROUND(D25,0),"")&amp;IF(AND(D25&lt;&gt;"",E25&lt;&gt;""),"+","")&amp;IF(E25&lt;&gt;"",ROUND(E25,0),"")&amp;IF(F25&lt;&gt;"","+","")&amp;IF(F25&lt;&gt;"",ROUND(F25,0),""))&amp;IF(D26="",""," = "&amp;D26&amp;" [m]")</f>
        <v>L'exch = Σ L'exch,i =167+10 = 177 [m]</v>
      </c>
      <c r="H26" s="109"/>
      <c r="I26" s="130"/>
      <c r="J26" s="131">
        <f>IF($I$2="住宅",$D$17*($I$27+1)/$I$27,$D$17+$D$19)</f>
        <v>12.821431594390994</v>
      </c>
      <c r="K26" s="132"/>
      <c r="L26" s="132"/>
      <c r="M26" s="131"/>
      <c r="N26" s="131"/>
      <c r="O26" s="131"/>
      <c r="P26" s="131"/>
      <c r="Q26" s="131"/>
      <c r="R26" s="131"/>
      <c r="S26" s="131"/>
      <c r="T26" s="131"/>
      <c r="U26" s="131"/>
      <c r="V26" s="131"/>
      <c r="W26" s="131"/>
      <c r="X26" s="131"/>
      <c r="Y26" s="131"/>
      <c r="Z26" s="131"/>
      <c r="AA26" s="131"/>
      <c r="AB26" s="131"/>
    </row>
    <row r="27" spans="1:28" ht="60" customHeight="1">
      <c r="A27" s="12"/>
      <c r="B27" s="29" t="s">
        <v>146</v>
      </c>
      <c r="C27" s="123" t="str">
        <f>"H"&amp;IF($I$2="住宅"," exch,C"&amp;CHAR(10),"c'")&amp;" [kW]="</f>
        <v>H exch,C
 [kW]=</v>
      </c>
      <c r="D27" s="137" t="str">
        <f>IF(OR(AND($I$2="住宅",D17=""),AND($I$2&lt;&gt;"住宅",OR(D17="",D19=""))),"",IF($I$10="H","―",ROUND(J27,2-INT(LOG(ABS(J27))))))</f>
        <v>―</v>
      </c>
      <c r="E27" s="137"/>
      <c r="F27" s="137"/>
      <c r="G27" s="126" t="str">
        <f>IF(D27="","",IF($I$10="H","※"&amp;$D$10&amp;"では冷房時は非考慮とする 【"&amp;$I$2&amp;"】","H"&amp;IF($I$2="住宅"," exch,C","c'")&amp;" = "&amp;$D$17&amp;IF($I$2="住宅"," / "&amp;$K$27," + "&amp;$D$19)&amp;" = "&amp;D27&amp;" [kW]"&amp;IF($I$2="住宅",CHAR(10)&amp;"※「"&amp;$K$27&amp;"」は：正味の地中熱交換器の交換熱量に対する"&amp;CHAR(10)&amp;" 　熱源機の冷房能力の比(定数値)","")&amp;CHAR(10)&amp;"※有効桁数4桁を四捨五入して求める。"))</f>
        <v>※4地域では冷房時は非考慮とする 【住宅】</v>
      </c>
      <c r="I27" s="130">
        <v>3.5443</v>
      </c>
      <c r="J27" s="131">
        <f>IF($I$2="住宅",$D$17/K27,$D$17+$D$19)</f>
        <v>12.822156686754711</v>
      </c>
      <c r="K27" s="131">
        <v>0.7799</v>
      </c>
      <c r="L27" s="131"/>
      <c r="M27" s="131"/>
      <c r="N27" s="131"/>
      <c r="O27" s="131"/>
      <c r="P27" s="131"/>
      <c r="Q27" s="131"/>
      <c r="R27" s="131"/>
      <c r="S27" s="131"/>
      <c r="T27" s="131"/>
      <c r="U27" s="131"/>
      <c r="V27" s="131"/>
      <c r="W27" s="131"/>
      <c r="X27" s="131"/>
      <c r="Y27" s="131"/>
      <c r="Z27" s="131"/>
      <c r="AA27" s="131"/>
      <c r="AB27" s="131"/>
    </row>
    <row r="28" spans="1:28" ht="60" customHeight="1">
      <c r="A28" s="12"/>
      <c r="B28" s="31"/>
      <c r="C28" s="123" t="str">
        <f>"H"&amp;IF($I$2="住宅"," exch,H"&amp;CHAR(10),"h'")&amp;" [kW]="</f>
        <v>H exch,H
 [kW]=</v>
      </c>
      <c r="D28" s="137">
        <f>IF(OR(AND($I$2="住宅",D18=""),AND($I$2&lt;&gt;"住宅",OR(D18="",D20=""))),"",ROUND(J28,2-INT(LOG(ABS(J28)))))</f>
        <v>9.81</v>
      </c>
      <c r="E28" s="137"/>
      <c r="F28" s="137"/>
      <c r="G28" s="126" t="str">
        <f>IF(D28="","","H"&amp;IF($I$2="住宅"," exch,H","h'")&amp;" = "&amp;$D$18&amp;IF($I$2="住宅"," / "&amp;K28," - "&amp;$D$20)&amp;" = "&amp;$D$28&amp;" [kW]"&amp;IF($I$2="住宅",CHAR(10)&amp;"※「"&amp;$K$28&amp;"」は正味の地中熱交換器の交換熱量に対する"&amp;CHAR(10)&amp;" 　熱源機の暖房能力の比(定数値)","")&amp;CHAR(10)&amp;"※有効桁数4桁を四捨五入して求める。")</f>
        <v>H exch,H = 12.5 / 1.2738 = 9.81 [kW]
※「1.2738」は正味の地中熱交換器の交換熱量に対する
 　熱源機の暖房能力の比(定数値)
※有効桁数4桁を四捨五入して求める。</v>
      </c>
      <c r="I28" s="130">
        <v>4.6526</v>
      </c>
      <c r="J28" s="131">
        <f>IF($I$2="住宅",$D$18/K28,$D$18-$D$20)</f>
        <v>9.813157481551263</v>
      </c>
      <c r="K28" s="131">
        <v>1.2738</v>
      </c>
      <c r="L28" s="131"/>
      <c r="M28" s="131"/>
      <c r="N28" s="131"/>
      <c r="O28" s="131"/>
      <c r="P28" s="131"/>
      <c r="Q28" s="131"/>
      <c r="R28" s="131"/>
      <c r="S28" s="131"/>
      <c r="T28" s="131"/>
      <c r="U28" s="131"/>
      <c r="V28" s="131"/>
      <c r="W28" s="131"/>
      <c r="X28" s="131"/>
      <c r="Y28" s="131"/>
      <c r="Z28" s="131"/>
      <c r="AA28" s="131"/>
      <c r="AB28" s="131"/>
    </row>
    <row r="29" spans="1:28" ht="28.5" customHeight="1">
      <c r="A29" s="12"/>
      <c r="B29" s="32"/>
      <c r="C29" s="123" t="str">
        <f>"H"&amp;IF($I$2="住宅"," exch,max"&amp;CHAR(10),"")&amp;" [kW]="</f>
        <v>H exch,max
 [kW]=</v>
      </c>
      <c r="D29" s="137">
        <f>IF(OR(D27="",D28=""),"",IF($I$10="H",$D$28,MAX($D$27:$F$28)))</f>
        <v>9.81</v>
      </c>
      <c r="E29" s="137"/>
      <c r="F29" s="137"/>
      <c r="G29" s="127" t="str">
        <f>IF(D29="","","← "&amp;"H"&amp;IF($I$2="住宅"," exch,max","")&amp;IF($I$10="H"," = "&amp;"H"&amp;IF($I$2="住宅"," exch,H","h'")&amp;" = "&amp;$D$28&amp;"  ("&amp;$D$10&amp;")"," = "&amp;MAX($D$27:$D$28)&amp;" [kW] ≧"&amp;MIN($D$27:$D$28)&amp;" [kW]"))</f>
        <v>← H exch,max = H exch,H = 9.81  (4地域)</v>
      </c>
      <c r="I29" s="130"/>
      <c r="J29" s="131">
        <f>IF($I$2="住宅",$D$18*($I$28-1)/$I$28,$D$18-$D$20)</f>
        <v>9.813330180974079</v>
      </c>
      <c r="K29" s="131"/>
      <c r="L29" s="131"/>
      <c r="M29" s="131"/>
      <c r="N29" s="131"/>
      <c r="O29" s="131"/>
      <c r="P29" s="131"/>
      <c r="Q29" s="131"/>
      <c r="R29" s="131"/>
      <c r="S29" s="131"/>
      <c r="T29" s="131"/>
      <c r="U29" s="131"/>
      <c r="V29" s="131"/>
      <c r="W29" s="131"/>
      <c r="X29" s="131"/>
      <c r="Y29" s="131"/>
      <c r="Z29" s="131"/>
      <c r="AA29" s="131"/>
      <c r="AB29" s="131"/>
    </row>
    <row r="30" spans="1:28" ht="28.5" customHeight="1">
      <c r="A30" s="12"/>
      <c r="B30" s="20" t="s">
        <v>147</v>
      </c>
      <c r="C30" s="123" t="str">
        <f>"Q"&amp;IF($I$2="住宅"," exch,max"&amp;CHAR(10),"'")&amp;" [W/m]="</f>
        <v>Q exch,max
 [W/m]=</v>
      </c>
      <c r="D30" s="137">
        <f>IF(OR(D26&lt;=0,D26="",D29="",D29&lt;=0),"",ROUND(J30,2-INT(LOG(ABS(J30)))))</f>
        <v>55.4</v>
      </c>
      <c r="E30" s="137"/>
      <c r="F30" s="137"/>
      <c r="G30" s="126" t="str">
        <f>IF(D30="","","Q"&amp;IF($I$2="住宅"," exch,max","'")&amp;" = 1000×H/L' = 1000×"&amp;$D$29&amp;"/"&amp;ROUND($D$26,1)&amp;" = "&amp;$D$30&amp;" [W/m]"&amp;CHAR(10)&amp;"※"&amp;"Q"&amp;IF($I$2="住宅"," exch,max","'")&amp;" は有効桁数4桁で四捨五入して求める。")</f>
        <v>Q exch,max = 1000×H/L' = 1000×9.81/177 = 55.4 [W/m]
※Q exch,max は有効桁数4桁で四捨五入して求める。</v>
      </c>
      <c r="I30" s="130"/>
      <c r="J30" s="131">
        <f>IF(OR(D26&lt;=0,D26="",D29="",D29&lt;=0),"",1000*$D$29/$D$26)</f>
        <v>55.42372881355932</v>
      </c>
      <c r="K30" s="131"/>
      <c r="L30" s="131"/>
      <c r="M30" s="131"/>
      <c r="N30" s="131"/>
      <c r="O30" s="131"/>
      <c r="P30" s="131"/>
      <c r="Q30" s="131"/>
      <c r="R30" s="131"/>
      <c r="S30" s="131"/>
      <c r="T30" s="131"/>
      <c r="U30" s="131"/>
      <c r="V30" s="131"/>
      <c r="W30" s="131"/>
      <c r="X30" s="131"/>
      <c r="Y30" s="131"/>
      <c r="Z30" s="131"/>
      <c r="AA30" s="131"/>
      <c r="AB30" s="131"/>
    </row>
    <row r="31" spans="1:28" ht="28.5" customHeight="1">
      <c r="A31" s="12"/>
      <c r="B31" s="18" t="s">
        <v>11</v>
      </c>
      <c r="C31" s="51"/>
      <c r="D31" s="138" t="str">
        <f>IF(D30="","",IF($D$30&lt;30,"タイプ1",IF($D$30&lt;50,"タイプ2",IF($D$30&lt;70,"タイプ3",IF($D$30&lt;90,"タイプ4",IF($D$30&gt;=90,"タイプ5",""))))))</f>
        <v>タイプ3</v>
      </c>
      <c r="E31" s="138"/>
      <c r="F31" s="139"/>
      <c r="G31" s="126" t="str">
        <f>IF(D31="","",IF($D$30&lt;30,"",IF($D$30&lt;50,"30 ≦ ",IF($D$30&lt;70,"50 ≦ ",IF($D$30&lt;90,"70 ≦ ",IF($D$30&gt;=90,"","")))))&amp;"Q"&amp;IF($I$2="住宅"," exch,max","'")&amp;" = "&amp;$D$30&amp;" [W/m]"&amp;IF($D$30&lt;30," ＜ 30",IF($D$30&lt;50," ＜ 50",IF($D$30&lt;70," ＜ 70",IF($D$30&lt;90," ＜ 90",IF($D$30&gt;=90," ≧ 90","")))))&amp;CHAR(10)&amp;"→ この範囲は「"&amp;$D$31&amp;"」となる。")</f>
        <v>50 ≦ Q exch,max = 55.4 [W/m] ＜ 70
→ この範囲は「タイプ3」となる。</v>
      </c>
      <c r="I31" s="130"/>
      <c r="J31" s="131"/>
      <c r="K31" s="131"/>
      <c r="L31" s="131"/>
      <c r="M31" s="131"/>
      <c r="N31" s="131"/>
      <c r="O31" s="131"/>
      <c r="P31" s="131"/>
      <c r="Q31" s="131"/>
      <c r="R31" s="131"/>
      <c r="S31" s="131"/>
      <c r="T31" s="131"/>
      <c r="U31" s="131"/>
      <c r="V31" s="131"/>
      <c r="W31" s="131"/>
      <c r="X31" s="131"/>
      <c r="Y31" s="131"/>
      <c r="Z31" s="131"/>
      <c r="AA31" s="131"/>
      <c r="AB31" s="131"/>
    </row>
    <row r="32" spans="2:28" ht="12.75">
      <c r="B32" s="17"/>
      <c r="C32" s="17"/>
      <c r="D32" s="17"/>
      <c r="E32" s="17"/>
      <c r="F32" s="17"/>
      <c r="I32" s="130"/>
      <c r="J32" s="131"/>
      <c r="K32" s="131"/>
      <c r="L32" s="131"/>
      <c r="M32" s="131"/>
      <c r="N32" s="131"/>
      <c r="O32" s="131"/>
      <c r="P32" s="131"/>
      <c r="Q32" s="131"/>
      <c r="R32" s="131"/>
      <c r="S32" s="131"/>
      <c r="T32" s="131"/>
      <c r="U32" s="131"/>
      <c r="V32" s="131"/>
      <c r="W32" s="131"/>
      <c r="X32" s="131"/>
      <c r="Y32" s="131"/>
      <c r="Z32" s="131"/>
      <c r="AA32" s="131"/>
      <c r="AB32" s="131"/>
    </row>
    <row r="33" spans="2:28" ht="12.75">
      <c r="B33" s="133"/>
      <c r="C33" s="134"/>
      <c r="D33" s="134"/>
      <c r="E33" s="134"/>
      <c r="F33" s="134"/>
      <c r="G33" s="135"/>
      <c r="I33" s="130"/>
      <c r="J33" s="131"/>
      <c r="K33" s="131"/>
      <c r="L33" s="131"/>
      <c r="M33" s="131"/>
      <c r="N33" s="131"/>
      <c r="O33" s="131"/>
      <c r="P33" s="131"/>
      <c r="Q33" s="131"/>
      <c r="R33" s="131"/>
      <c r="S33" s="131"/>
      <c r="T33" s="131"/>
      <c r="U33" s="131"/>
      <c r="V33" s="131"/>
      <c r="W33" s="131"/>
      <c r="X33" s="131"/>
      <c r="Y33" s="131"/>
      <c r="Z33" s="131"/>
      <c r="AA33" s="131"/>
      <c r="AB33" s="131"/>
    </row>
    <row r="34" spans="2:28" ht="28.5" customHeight="1">
      <c r="B34" s="133"/>
      <c r="C34" s="134"/>
      <c r="D34" s="134"/>
      <c r="E34" s="134"/>
      <c r="F34" s="134"/>
      <c r="G34" s="135"/>
      <c r="I34" s="130"/>
      <c r="J34" s="131"/>
      <c r="K34" s="131"/>
      <c r="L34" s="131"/>
      <c r="M34" s="131"/>
      <c r="N34" s="131"/>
      <c r="O34" s="131"/>
      <c r="P34" s="131"/>
      <c r="Q34" s="131"/>
      <c r="R34" s="131"/>
      <c r="S34" s="131"/>
      <c r="T34" s="131"/>
      <c r="U34" s="131"/>
      <c r="V34" s="131"/>
      <c r="W34" s="131"/>
      <c r="X34" s="131"/>
      <c r="Y34" s="131"/>
      <c r="Z34" s="131"/>
      <c r="AA34" s="131"/>
      <c r="AB34" s="131"/>
    </row>
    <row r="35" spans="2:28" ht="27" customHeight="1">
      <c r="B35" s="133"/>
      <c r="C35" s="134"/>
      <c r="D35" s="134"/>
      <c r="E35" s="134"/>
      <c r="F35" s="134"/>
      <c r="G35" s="135"/>
      <c r="I35" s="130"/>
      <c r="J35" s="131"/>
      <c r="K35" s="131"/>
      <c r="L35" s="131"/>
      <c r="M35" s="131"/>
      <c r="N35" s="131"/>
      <c r="O35" s="131"/>
      <c r="P35" s="131"/>
      <c r="Q35" s="131"/>
      <c r="R35" s="131"/>
      <c r="S35" s="131"/>
      <c r="T35" s="131"/>
      <c r="U35" s="131"/>
      <c r="V35" s="131"/>
      <c r="W35" s="131"/>
      <c r="X35" s="131"/>
      <c r="Y35" s="131"/>
      <c r="Z35" s="131"/>
      <c r="AA35" s="131"/>
      <c r="AB35" s="131"/>
    </row>
    <row r="36" spans="2:28" ht="30" customHeight="1">
      <c r="B36" s="133"/>
      <c r="C36" s="134"/>
      <c r="D36" s="134"/>
      <c r="E36" s="134"/>
      <c r="F36" s="134"/>
      <c r="G36" s="135"/>
      <c r="I36" s="130"/>
      <c r="J36" s="131"/>
      <c r="K36" s="131"/>
      <c r="L36" s="131"/>
      <c r="M36" s="131"/>
      <c r="N36" s="131"/>
      <c r="O36" s="131"/>
      <c r="P36" s="131"/>
      <c r="Q36" s="131"/>
      <c r="R36" s="131"/>
      <c r="S36" s="131"/>
      <c r="T36" s="131"/>
      <c r="U36" s="131"/>
      <c r="V36" s="131"/>
      <c r="W36" s="131"/>
      <c r="X36" s="131"/>
      <c r="Y36" s="131"/>
      <c r="Z36" s="131"/>
      <c r="AA36" s="131"/>
      <c r="AB36" s="131"/>
    </row>
    <row r="37" spans="2:28" ht="15.75" customHeight="1">
      <c r="B37" s="133"/>
      <c r="C37" s="134"/>
      <c r="D37" s="134"/>
      <c r="E37" s="134"/>
      <c r="F37" s="134"/>
      <c r="G37" s="135"/>
      <c r="I37" s="130"/>
      <c r="J37" s="131"/>
      <c r="K37" s="131"/>
      <c r="L37" s="131"/>
      <c r="M37" s="131"/>
      <c r="N37" s="131"/>
      <c r="O37" s="131"/>
      <c r="P37" s="131"/>
      <c r="Q37" s="131"/>
      <c r="R37" s="131"/>
      <c r="S37" s="131"/>
      <c r="T37" s="131"/>
      <c r="U37" s="131"/>
      <c r="V37" s="131"/>
      <c r="W37" s="131"/>
      <c r="X37" s="131"/>
      <c r="Y37" s="131"/>
      <c r="Z37" s="131"/>
      <c r="AA37" s="131"/>
      <c r="AB37" s="131"/>
    </row>
    <row r="38" spans="2:28" ht="15.75" customHeight="1">
      <c r="B38" s="133"/>
      <c r="C38" s="134"/>
      <c r="D38" s="134"/>
      <c r="E38" s="134"/>
      <c r="F38" s="134"/>
      <c r="G38" s="135"/>
      <c r="I38" s="130"/>
      <c r="J38" s="131"/>
      <c r="K38" s="131"/>
      <c r="L38" s="131"/>
      <c r="M38" s="131"/>
      <c r="N38" s="131"/>
      <c r="O38" s="131"/>
      <c r="P38" s="131"/>
      <c r="Q38" s="131"/>
      <c r="R38" s="131"/>
      <c r="S38" s="131"/>
      <c r="T38" s="131"/>
      <c r="U38" s="131"/>
      <c r="V38" s="131"/>
      <c r="W38" s="131"/>
      <c r="X38" s="131"/>
      <c r="Y38" s="131"/>
      <c r="Z38" s="131"/>
      <c r="AA38" s="131"/>
      <c r="AB38" s="131"/>
    </row>
    <row r="39" spans="2:28" ht="30" customHeight="1">
      <c r="B39" s="133"/>
      <c r="C39" s="134"/>
      <c r="D39" s="134"/>
      <c r="E39" s="134"/>
      <c r="F39" s="134"/>
      <c r="G39" s="135"/>
      <c r="I39" s="130"/>
      <c r="J39" s="131"/>
      <c r="K39" s="131"/>
      <c r="L39" s="131"/>
      <c r="M39" s="131"/>
      <c r="N39" s="131"/>
      <c r="O39" s="131"/>
      <c r="P39" s="131"/>
      <c r="Q39" s="131"/>
      <c r="R39" s="131"/>
      <c r="S39" s="131"/>
      <c r="T39" s="131"/>
      <c r="U39" s="131"/>
      <c r="V39" s="131"/>
      <c r="W39" s="131"/>
      <c r="X39" s="131"/>
      <c r="Y39" s="131"/>
      <c r="Z39" s="131"/>
      <c r="AA39" s="131"/>
      <c r="AB39" s="131"/>
    </row>
    <row r="40" spans="9:28" ht="3.75" customHeight="1">
      <c r="I40" s="130"/>
      <c r="J40" s="131"/>
      <c r="K40" s="131"/>
      <c r="L40" s="131"/>
      <c r="M40" s="131"/>
      <c r="N40" s="131"/>
      <c r="O40" s="131"/>
      <c r="P40" s="131"/>
      <c r="Q40" s="131"/>
      <c r="R40" s="131"/>
      <c r="S40" s="131"/>
      <c r="T40" s="131"/>
      <c r="U40" s="131"/>
      <c r="V40" s="131"/>
      <c r="W40" s="131"/>
      <c r="X40" s="131"/>
      <c r="Y40" s="131"/>
      <c r="Z40" s="131"/>
      <c r="AA40" s="131"/>
      <c r="AB40" s="131"/>
    </row>
    <row r="41" spans="9:28" ht="12.75">
      <c r="I41" s="130"/>
      <c r="J41" s="131"/>
      <c r="K41" s="131"/>
      <c r="L41" s="131"/>
      <c r="M41" s="131"/>
      <c r="N41" s="131"/>
      <c r="O41" s="131"/>
      <c r="P41" s="131"/>
      <c r="Q41" s="131"/>
      <c r="R41" s="131"/>
      <c r="S41" s="131"/>
      <c r="T41" s="131"/>
      <c r="U41" s="131"/>
      <c r="V41" s="131"/>
      <c r="W41" s="131"/>
      <c r="X41" s="131"/>
      <c r="Y41" s="131"/>
      <c r="Z41" s="131"/>
      <c r="AA41" s="131"/>
      <c r="AB41" s="131"/>
    </row>
  </sheetData>
  <sheetProtection password="E841" sheet="1" objects="1" scenarios="1"/>
  <mergeCells count="25">
    <mergeCell ref="B6:C6"/>
    <mergeCell ref="D6:G6"/>
    <mergeCell ref="C9:F9"/>
    <mergeCell ref="D10:F10"/>
    <mergeCell ref="B11:C11"/>
    <mergeCell ref="G13:G14"/>
    <mergeCell ref="D17:F17"/>
    <mergeCell ref="G17:G20"/>
    <mergeCell ref="D18:F18"/>
    <mergeCell ref="D19:F19"/>
    <mergeCell ref="D20:F20"/>
    <mergeCell ref="C23:F23"/>
    <mergeCell ref="D26:F26"/>
    <mergeCell ref="D27:F27"/>
    <mergeCell ref="D28:F28"/>
    <mergeCell ref="D29:F29"/>
    <mergeCell ref="D30:F30"/>
    <mergeCell ref="D31:F31"/>
    <mergeCell ref="B39:G39"/>
    <mergeCell ref="B33:G33"/>
    <mergeCell ref="B34:G34"/>
    <mergeCell ref="B35:G35"/>
    <mergeCell ref="B36:G36"/>
    <mergeCell ref="B37:G37"/>
    <mergeCell ref="B38:G38"/>
  </mergeCells>
  <conditionalFormatting sqref="G24">
    <cfRule type="expression" priority="9" dxfId="60" stopIfTrue="1">
      <formula>$I$24</formula>
    </cfRule>
  </conditionalFormatting>
  <conditionalFormatting sqref="G28">
    <cfRule type="expression" priority="12" dxfId="60" stopIfTrue="1">
      <formula>ROUND($D$28,1)&lt;&gt;ROUND(IF($I$2="住宅",$D$18*($I$28-1)/$I$28,$D$18-$D$20),1)</formula>
    </cfRule>
  </conditionalFormatting>
  <conditionalFormatting sqref="G30">
    <cfRule type="expression" priority="13" dxfId="60" stopIfTrue="1">
      <formula>$D$30&lt;&gt;ROUND(1000*$D$29/$D$26,1)</formula>
    </cfRule>
  </conditionalFormatting>
  <conditionalFormatting sqref="G31">
    <cfRule type="expression" priority="14" dxfId="60" stopIfTrue="1">
      <formula>ROUND($D$31,2)&lt;&gt;ROUND(IF($D$30&lt;30,"タイプ1",IF($D$30&lt;50,"タイプ2",IF($D$30&lt;70,"タイプ3",IF($D$30&lt;90,"タイプ4",IF($D$30&gt;=90,"タイプ5",""))))),2)</formula>
    </cfRule>
  </conditionalFormatting>
  <conditionalFormatting sqref="F12:F14">
    <cfRule type="expression" priority="8" dxfId="61" stopIfTrue="1">
      <formula>$F$14&lt;&gt;$K$12</formula>
    </cfRule>
  </conditionalFormatting>
  <conditionalFormatting sqref="G27">
    <cfRule type="expression" priority="11" dxfId="60" stopIfTrue="1">
      <formula>ROUND($D$27,2)&lt;&gt;ROUND(IF($I$10="H","―",ROUND(IF($I$2="住宅",$D$17*($I$27+1)/$I$27,$D$17+$D$19),1)),2)</formula>
    </cfRule>
  </conditionalFormatting>
  <conditionalFormatting sqref="G29">
    <cfRule type="expression" priority="15" dxfId="60" stopIfTrue="1">
      <formula>ROUND($D$29,2)&lt;&gt;ROUND(IF($I$10="H",$D$28,MAX($D$27:$D$28)),2)</formula>
    </cfRule>
  </conditionalFormatting>
  <conditionalFormatting sqref="E12:E14">
    <cfRule type="expression" priority="7" dxfId="61" stopIfTrue="1">
      <formula>$E$14&lt;&gt;$J$12</formula>
    </cfRule>
  </conditionalFormatting>
  <conditionalFormatting sqref="D12:D14">
    <cfRule type="expression" priority="6" dxfId="61" stopIfTrue="1">
      <formula>$D$14&lt;&gt;$I$12</formula>
    </cfRule>
  </conditionalFormatting>
  <conditionalFormatting sqref="G26">
    <cfRule type="expression" priority="10" dxfId="61" stopIfTrue="1">
      <formula>ROUND($D$26,1)&lt;&gt;ROUND(SUM($D$25:$F$25),1)</formula>
    </cfRule>
  </conditionalFormatting>
  <conditionalFormatting sqref="D16:F16">
    <cfRule type="expression" priority="5" dxfId="62">
      <formula>MATCH(D12,$Q$1:$Q$8,0)&lt;=5</formula>
    </cfRule>
  </conditionalFormatting>
  <conditionalFormatting sqref="D16 D12">
    <cfRule type="expression" priority="4" dxfId="61">
      <formula>OR(AND($D$12=$Q$6,$D$16&gt;=0.6),AND($D$12=$Q$7,$D$16&lt;0.6))</formula>
    </cfRule>
  </conditionalFormatting>
  <conditionalFormatting sqref="E16 E12">
    <cfRule type="expression" priority="3" dxfId="61" stopIfTrue="1">
      <formula>OR(AND($E$12=$Q$6,$E$16&gt;=0.6),AND($E$12=$Q$7,$E$16&lt;0.6))</formula>
    </cfRule>
  </conditionalFormatting>
  <conditionalFormatting sqref="F16 F12">
    <cfRule type="expression" priority="2" dxfId="61" stopIfTrue="1">
      <formula>OR(AND($F$12=$Q$6,$F$16&gt;=0.6),AND($F$12=$Q$7,$F$16&lt;0.6))</formula>
    </cfRule>
  </conditionalFormatting>
  <conditionalFormatting sqref="C19:F20">
    <cfRule type="expression" priority="1" dxfId="62" stopIfTrue="1">
      <formula>$I$2="住宅"</formula>
    </cfRule>
  </conditionalFormatting>
  <dataValidations count="4">
    <dataValidation type="list" allowBlank="1" showInputMessage="1" showErrorMessage="1" sqref="I2">
      <formula1>"住宅,非住宅建築物"</formula1>
    </dataValidation>
    <dataValidation type="list" allowBlank="1" showInputMessage="1" showErrorMessage="1" sqref="D12:F12">
      <formula1>$Q$2:$Q$9</formula1>
    </dataValidation>
    <dataValidation type="list" allowBlank="1" showInputMessage="1" showErrorMessage="1" sqref="D10">
      <formula1>$P$2:$P$10</formula1>
    </dataValidation>
    <dataValidation type="list" allowBlank="1" showInputMessage="1" showErrorMessage="1" sqref="D13:F13">
      <formula1>$R$2:$R$5</formula1>
    </dataValidation>
  </dataValidation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E15" sqref="E15"/>
    </sheetView>
  </sheetViews>
  <sheetFormatPr defaultColWidth="8.87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0" bestFit="1" customWidth="1"/>
    <col min="10" max="10" width="8.875" style="101" customWidth="1"/>
    <col min="11" max="11" width="8.125" style="101" customWidth="1"/>
    <col min="12" max="14" width="2.00390625" style="101" customWidth="1"/>
    <col min="15" max="15" width="2.125" style="101" customWidth="1"/>
    <col min="16" max="16" width="13.125" style="101" bestFit="1" customWidth="1"/>
    <col min="17" max="17" width="23.875" style="101" bestFit="1" customWidth="1"/>
    <col min="18" max="18" width="64.875" style="101" bestFit="1" customWidth="1"/>
    <col min="19" max="19" width="20.875" style="101" bestFit="1" customWidth="1"/>
    <col min="20" max="20" width="20.875" style="101" customWidth="1"/>
    <col min="21" max="21" width="17.625" style="101" bestFit="1" customWidth="1"/>
    <col min="22" max="22" width="17.625" style="101" customWidth="1"/>
    <col min="23" max="24" width="22.125" style="101" bestFit="1" customWidth="1"/>
    <col min="25" max="25" width="9.50390625" style="101" bestFit="1" customWidth="1"/>
    <col min="26" max="26" width="9.50390625" style="101" customWidth="1"/>
    <col min="27" max="27" width="17.00390625" style="101" bestFit="1" customWidth="1"/>
    <col min="28" max="29" width="8.875" style="102" customWidth="1"/>
    <col min="30" max="30" width="8.875" style="103" customWidth="1"/>
    <col min="31" max="16384" width="8.875" style="9" customWidth="1"/>
  </cols>
  <sheetData>
    <row r="1" spans="1:31" ht="13.5" thickBot="1">
      <c r="A1" s="4"/>
      <c r="B1" s="2"/>
      <c r="C1" s="2"/>
      <c r="D1" s="5"/>
      <c r="E1" s="37"/>
      <c r="F1" s="37"/>
      <c r="G1" s="3"/>
      <c r="H1" s="8"/>
      <c r="I1" s="89"/>
      <c r="J1" s="90"/>
      <c r="K1" s="90"/>
      <c r="L1" s="90"/>
      <c r="M1" s="90"/>
      <c r="N1" s="90"/>
      <c r="O1" s="91"/>
      <c r="P1" s="91" t="s">
        <v>15</v>
      </c>
      <c r="Q1" s="91" t="s">
        <v>24</v>
      </c>
      <c r="R1" s="91" t="s">
        <v>28</v>
      </c>
      <c r="S1" s="91" t="s">
        <v>79</v>
      </c>
      <c r="T1" s="91" t="s">
        <v>80</v>
      </c>
      <c r="U1" s="91" t="s">
        <v>6</v>
      </c>
      <c r="V1" s="91" t="s">
        <v>63</v>
      </c>
      <c r="W1" s="91" t="s">
        <v>86</v>
      </c>
      <c r="X1" s="91" t="s">
        <v>87</v>
      </c>
      <c r="Y1" s="91" t="s">
        <v>5</v>
      </c>
      <c r="Z1" s="91" t="s">
        <v>64</v>
      </c>
      <c r="AA1" s="91" t="s">
        <v>12</v>
      </c>
      <c r="AB1" s="91"/>
      <c r="AC1" s="91"/>
      <c r="AD1" s="92"/>
      <c r="AE1" s="88"/>
    </row>
    <row r="2" spans="1:31" ht="27" customHeight="1" thickTop="1">
      <c r="A2" s="4"/>
      <c r="B2" s="105" t="str">
        <f>"【"&amp;$I$2&amp;"用】 地中熱交換器タイプ確認シート(Ver.3.0)"</f>
        <v>【非住宅建築物用】 地中熱交換器タイプ確認シート(Ver.3.0)</v>
      </c>
      <c r="C2" s="34"/>
      <c r="D2" s="1"/>
      <c r="E2" s="1"/>
      <c r="F2" s="1" t="s">
        <v>1</v>
      </c>
      <c r="G2" s="54" t="s">
        <v>118</v>
      </c>
      <c r="H2" s="16"/>
      <c r="I2" s="93" t="s">
        <v>133</v>
      </c>
      <c r="J2" s="94"/>
      <c r="K2" s="94"/>
      <c r="L2" s="95"/>
      <c r="M2" s="95"/>
      <c r="N2" s="95"/>
      <c r="O2" s="94"/>
      <c r="P2" s="94"/>
      <c r="Q2" s="94"/>
      <c r="R2" s="94"/>
      <c r="S2" s="94"/>
      <c r="T2" s="94"/>
      <c r="U2" s="94"/>
      <c r="V2" s="94"/>
      <c r="W2" s="94"/>
      <c r="X2" s="94"/>
      <c r="Y2" s="94"/>
      <c r="Z2" s="94"/>
      <c r="AA2" s="94"/>
      <c r="AB2" s="94"/>
      <c r="AC2" s="94"/>
      <c r="AD2" s="96"/>
      <c r="AE2" s="88"/>
    </row>
    <row r="3" spans="1:31" ht="27" customHeight="1" thickBot="1">
      <c r="A3" s="4"/>
      <c r="B3" s="2" t="str">
        <f ca="1">RIGHT(CELL("filename",B3),LEN(CELL("filename",B3))-FIND("]",CELL("filename",B3)))</f>
        <v>【記入例-1】</v>
      </c>
      <c r="C3" s="2"/>
      <c r="D3" s="1"/>
      <c r="E3" s="1"/>
      <c r="F3" s="1" t="s">
        <v>0</v>
      </c>
      <c r="G3" s="53" t="s">
        <v>10</v>
      </c>
      <c r="H3" s="16"/>
      <c r="I3" s="93"/>
      <c r="J3" s="94"/>
      <c r="K3" s="94"/>
      <c r="L3" s="95"/>
      <c r="M3" s="95"/>
      <c r="N3" s="95"/>
      <c r="O3" s="94"/>
      <c r="P3" s="94" t="s">
        <v>16</v>
      </c>
      <c r="Q3" s="94" t="s">
        <v>25</v>
      </c>
      <c r="R3" s="94" t="s">
        <v>4</v>
      </c>
      <c r="S3" s="97" t="s">
        <v>82</v>
      </c>
      <c r="T3" s="94" t="s">
        <v>81</v>
      </c>
      <c r="U3" s="94">
        <v>1.3957</v>
      </c>
      <c r="V3" s="94">
        <v>0</v>
      </c>
      <c r="W3" s="97" t="s">
        <v>88</v>
      </c>
      <c r="X3" s="94"/>
      <c r="Y3" s="94">
        <v>-0.481</v>
      </c>
      <c r="Z3" s="94">
        <v>0</v>
      </c>
      <c r="AA3" s="94">
        <v>1.2</v>
      </c>
      <c r="AB3" s="94"/>
      <c r="AC3" s="94"/>
      <c r="AD3" s="96"/>
      <c r="AE3" s="88"/>
    </row>
    <row r="4" spans="2:31" ht="13.5" thickTop="1">
      <c r="B4" s="11"/>
      <c r="C4" s="11"/>
      <c r="D4" s="11"/>
      <c r="E4" s="11"/>
      <c r="F4" s="11"/>
      <c r="G4" s="11"/>
      <c r="I4" s="93"/>
      <c r="J4" s="94"/>
      <c r="K4" s="94"/>
      <c r="L4" s="94"/>
      <c r="M4" s="94"/>
      <c r="N4" s="94"/>
      <c r="O4" s="94"/>
      <c r="P4" s="94" t="s">
        <v>17</v>
      </c>
      <c r="Q4" s="94" t="s">
        <v>26</v>
      </c>
      <c r="R4" s="94" t="s">
        <v>29</v>
      </c>
      <c r="S4" s="94" t="s">
        <v>83</v>
      </c>
      <c r="T4" s="94" t="s">
        <v>81</v>
      </c>
      <c r="U4" s="94">
        <v>1.81441</v>
      </c>
      <c r="V4" s="94">
        <v>0</v>
      </c>
      <c r="W4" s="97" t="s">
        <v>88</v>
      </c>
      <c r="X4" s="94"/>
      <c r="Y4" s="94">
        <v>-0.481</v>
      </c>
      <c r="Z4" s="94">
        <v>0</v>
      </c>
      <c r="AA4" s="94">
        <v>1.2</v>
      </c>
      <c r="AB4" s="94"/>
      <c r="AC4" s="94"/>
      <c r="AD4" s="96"/>
      <c r="AE4" s="88"/>
    </row>
    <row r="5" spans="1:31" ht="18" customHeight="1" thickBot="1">
      <c r="A5" s="12"/>
      <c r="B5" s="13" t="s">
        <v>46</v>
      </c>
      <c r="C5" s="14"/>
      <c r="D5" s="13" t="str">
        <f>IF($I$2="非住宅建築物","熱源・空調系統名：","")&amp;IF($I$2="住宅","空調する室等（参考入力）：","")</f>
        <v>熱源・空調系統名：</v>
      </c>
      <c r="E5" s="38"/>
      <c r="F5" s="38"/>
      <c r="G5" s="15"/>
      <c r="I5" s="93"/>
      <c r="J5" s="94"/>
      <c r="K5" s="94"/>
      <c r="L5" s="94"/>
      <c r="M5" s="94"/>
      <c r="N5" s="94"/>
      <c r="O5" s="94"/>
      <c r="P5" s="94" t="s">
        <v>18</v>
      </c>
      <c r="Q5" s="94" t="s">
        <v>27</v>
      </c>
      <c r="R5" s="94" t="s">
        <v>30</v>
      </c>
      <c r="S5" s="94" t="s">
        <v>84</v>
      </c>
      <c r="T5" s="94" t="s">
        <v>81</v>
      </c>
      <c r="U5" s="94">
        <v>1.6938870000000001</v>
      </c>
      <c r="V5" s="94">
        <v>0</v>
      </c>
      <c r="W5" s="97" t="s">
        <v>89</v>
      </c>
      <c r="X5" s="94"/>
      <c r="Y5" s="94">
        <v>-0.439</v>
      </c>
      <c r="Z5" s="94">
        <v>0</v>
      </c>
      <c r="AA5" s="94">
        <v>0.7</v>
      </c>
      <c r="AB5" s="94"/>
      <c r="AC5" s="94"/>
      <c r="AD5" s="96"/>
      <c r="AE5" s="88"/>
    </row>
    <row r="6" spans="1:31" ht="27" customHeight="1" thickBot="1" thickTop="1">
      <c r="A6" s="12"/>
      <c r="B6" s="7" t="s">
        <v>2</v>
      </c>
      <c r="C6" s="6"/>
      <c r="D6" s="7" t="s">
        <v>8</v>
      </c>
      <c r="E6" s="39"/>
      <c r="F6" s="39"/>
      <c r="G6" s="6"/>
      <c r="H6" s="16"/>
      <c r="I6" s="93"/>
      <c r="J6" s="94"/>
      <c r="K6" s="94"/>
      <c r="L6" s="94"/>
      <c r="M6" s="94"/>
      <c r="N6" s="94"/>
      <c r="O6" s="94"/>
      <c r="P6" s="94" t="s">
        <v>19</v>
      </c>
      <c r="Q6" s="94" t="s">
        <v>113</v>
      </c>
      <c r="R6" s="94"/>
      <c r="S6" s="97" t="s">
        <v>99</v>
      </c>
      <c r="T6" s="97" t="s">
        <v>104</v>
      </c>
      <c r="U6" s="94">
        <v>1.2344</v>
      </c>
      <c r="V6" s="94">
        <v>-0.5953</v>
      </c>
      <c r="W6" s="97" t="s">
        <v>106</v>
      </c>
      <c r="X6" s="97" t="s">
        <v>107</v>
      </c>
      <c r="Y6" s="97">
        <v>-0.2383</v>
      </c>
      <c r="Z6" s="97">
        <v>0.0475</v>
      </c>
      <c r="AA6" s="94">
        <v>1.2</v>
      </c>
      <c r="AB6" s="94"/>
      <c r="AC6" s="94"/>
      <c r="AD6" s="96"/>
      <c r="AE6" s="88"/>
    </row>
    <row r="7" spans="2:31" ht="14.25" customHeight="1" thickTop="1">
      <c r="B7" s="17"/>
      <c r="C7" s="17"/>
      <c r="D7" s="17"/>
      <c r="E7" s="17"/>
      <c r="F7" s="17"/>
      <c r="G7" s="17"/>
      <c r="H7" s="16"/>
      <c r="I7" s="93"/>
      <c r="J7" s="94"/>
      <c r="K7" s="94"/>
      <c r="L7" s="94"/>
      <c r="M7" s="94"/>
      <c r="N7" s="94"/>
      <c r="O7" s="94"/>
      <c r="P7" s="94" t="s">
        <v>20</v>
      </c>
      <c r="Q7" s="94" t="s">
        <v>114</v>
      </c>
      <c r="R7" s="94"/>
      <c r="S7" s="97" t="s">
        <v>105</v>
      </c>
      <c r="T7" s="97" t="s">
        <v>101</v>
      </c>
      <c r="U7" s="94">
        <v>1.0246</v>
      </c>
      <c r="V7" s="97">
        <v>-0.2606</v>
      </c>
      <c r="W7" s="97" t="s">
        <v>108</v>
      </c>
      <c r="X7" s="97" t="s">
        <v>109</v>
      </c>
      <c r="Y7" s="97">
        <v>-0.2943</v>
      </c>
      <c r="Z7" s="97">
        <v>0.0613</v>
      </c>
      <c r="AA7" s="94">
        <v>1.2</v>
      </c>
      <c r="AB7" s="94"/>
      <c r="AC7" s="94"/>
      <c r="AD7" s="96"/>
      <c r="AE7" s="88"/>
    </row>
    <row r="8" spans="2:31" ht="18" customHeight="1">
      <c r="B8" s="11" t="s">
        <v>3</v>
      </c>
      <c r="C8" s="11"/>
      <c r="D8" s="11"/>
      <c r="E8" s="11"/>
      <c r="F8" s="11"/>
      <c r="G8" s="11"/>
      <c r="H8" s="16"/>
      <c r="I8" s="93"/>
      <c r="J8" s="94"/>
      <c r="K8" s="94"/>
      <c r="L8" s="94"/>
      <c r="M8" s="94"/>
      <c r="N8" s="94"/>
      <c r="O8" s="94"/>
      <c r="P8" s="94" t="s">
        <v>21</v>
      </c>
      <c r="Q8" s="94" t="s">
        <v>65</v>
      </c>
      <c r="R8" s="94"/>
      <c r="S8" s="94" t="s">
        <v>85</v>
      </c>
      <c r="T8" s="97" t="s">
        <v>102</v>
      </c>
      <c r="U8" s="94">
        <v>1.6275</v>
      </c>
      <c r="V8" s="94">
        <f>-0.881</f>
        <v>-0.881</v>
      </c>
      <c r="W8" s="97" t="s">
        <v>90</v>
      </c>
      <c r="X8" s="97" t="s">
        <v>110</v>
      </c>
      <c r="Y8" s="97">
        <v>-0.6618</v>
      </c>
      <c r="Z8" s="94">
        <f>0.055</f>
        <v>0.055</v>
      </c>
      <c r="AA8" s="94">
        <v>1.2</v>
      </c>
      <c r="AB8" s="94"/>
      <c r="AC8" s="94"/>
      <c r="AD8" s="96"/>
      <c r="AE8" s="88"/>
    </row>
    <row r="9" spans="1:31" ht="18" customHeight="1" thickBot="1">
      <c r="A9" s="12"/>
      <c r="B9" s="18" t="s">
        <v>7</v>
      </c>
      <c r="C9" s="150" t="s">
        <v>62</v>
      </c>
      <c r="D9" s="151"/>
      <c r="E9" s="151"/>
      <c r="F9" s="152"/>
      <c r="G9" s="19" t="s">
        <v>31</v>
      </c>
      <c r="I9" s="98">
        <f>IF(D12="","",MATCH(D$12,$Q$1:$Q$9,0))</f>
        <v>3</v>
      </c>
      <c r="J9" s="99">
        <f>IF(E12="","",MATCH(E$12,$Q$1:$Q$9,0))</f>
        <v>5</v>
      </c>
      <c r="K9" s="99">
        <f>IF(F12="","",MATCH(F$12,$Q$1:$Q$9,0))</f>
      </c>
      <c r="L9" s="94"/>
      <c r="M9" s="94"/>
      <c r="N9" s="94"/>
      <c r="O9" s="94"/>
      <c r="P9" s="94" t="s">
        <v>22</v>
      </c>
      <c r="Q9" s="94" t="s">
        <v>115</v>
      </c>
      <c r="R9" s="94"/>
      <c r="S9" s="94" t="s">
        <v>100</v>
      </c>
      <c r="T9" s="97" t="s">
        <v>103</v>
      </c>
      <c r="U9" s="94">
        <v>1.9231</v>
      </c>
      <c r="V9" s="94">
        <v>-1.0518</v>
      </c>
      <c r="W9" s="97" t="s">
        <v>111</v>
      </c>
      <c r="X9" s="97" t="s">
        <v>112</v>
      </c>
      <c r="Y9" s="97">
        <v>-0.6564</v>
      </c>
      <c r="Z9" s="97">
        <v>0.2325</v>
      </c>
      <c r="AA9" s="94">
        <v>1.2</v>
      </c>
      <c r="AB9" s="94"/>
      <c r="AC9" s="94"/>
      <c r="AD9" s="96"/>
      <c r="AE9" s="88"/>
    </row>
    <row r="10" spans="1:31" ht="27" customHeight="1" thickBot="1" thickTop="1">
      <c r="A10" s="12"/>
      <c r="B10" s="35" t="s">
        <v>14</v>
      </c>
      <c r="C10" s="40" t="s">
        <v>37</v>
      </c>
      <c r="D10" s="153" t="s">
        <v>21</v>
      </c>
      <c r="E10" s="154"/>
      <c r="F10" s="155"/>
      <c r="G10" s="42" t="s">
        <v>126</v>
      </c>
      <c r="I10" s="98" t="str">
        <f>IF(OR($D$10="1地域",$D$10="2地域",$D$10="3地域",AND($I$2="住宅",$D$10="4地域")),"H","maxHC")</f>
        <v>maxHC</v>
      </c>
      <c r="J10" s="94"/>
      <c r="K10" s="94"/>
      <c r="L10" s="94"/>
      <c r="M10" s="94"/>
      <c r="N10" s="94"/>
      <c r="O10" s="94"/>
      <c r="P10" s="94" t="s">
        <v>23</v>
      </c>
      <c r="Q10" s="94"/>
      <c r="R10" s="94"/>
      <c r="S10" s="94"/>
      <c r="T10" s="94"/>
      <c r="U10" s="94"/>
      <c r="V10" s="94"/>
      <c r="W10" s="94"/>
      <c r="X10" s="94"/>
      <c r="Y10" s="94"/>
      <c r="Z10" s="94"/>
      <c r="AA10" s="94"/>
      <c r="AB10" s="94"/>
      <c r="AC10" s="94"/>
      <c r="AD10" s="96"/>
      <c r="AE10" s="88"/>
    </row>
    <row r="11" spans="1:31" ht="59.25" customHeight="1" thickBot="1" thickTop="1">
      <c r="A11" s="12"/>
      <c r="B11" s="156" t="s">
        <v>44</v>
      </c>
      <c r="C11" s="157"/>
      <c r="D11" s="50" t="s">
        <v>40</v>
      </c>
      <c r="E11" s="50" t="s">
        <v>41</v>
      </c>
      <c r="F11" s="50" t="s">
        <v>42</v>
      </c>
      <c r="G11" s="44" t="s">
        <v>127</v>
      </c>
      <c r="I11" s="98"/>
      <c r="J11" s="94"/>
      <c r="K11" s="94"/>
      <c r="L11" s="94"/>
      <c r="M11" s="94"/>
      <c r="N11" s="94"/>
      <c r="O11" s="94"/>
      <c r="P11" s="94"/>
      <c r="Q11" s="94"/>
      <c r="R11" s="94"/>
      <c r="S11" s="94"/>
      <c r="T11" s="94"/>
      <c r="U11" s="94"/>
      <c r="V11" s="94"/>
      <c r="W11" s="94"/>
      <c r="X11" s="94"/>
      <c r="Y11" s="94"/>
      <c r="Z11" s="94"/>
      <c r="AA11" s="94"/>
      <c r="AB11" s="94"/>
      <c r="AC11" s="94"/>
      <c r="AD11" s="96"/>
      <c r="AE11" s="88"/>
    </row>
    <row r="12" spans="1:31" ht="71.25" customHeight="1" thickTop="1">
      <c r="A12" s="12"/>
      <c r="B12" s="35" t="s">
        <v>93</v>
      </c>
      <c r="C12" s="40" t="s">
        <v>37</v>
      </c>
      <c r="D12" s="82" t="s">
        <v>25</v>
      </c>
      <c r="E12" s="83" t="s">
        <v>43</v>
      </c>
      <c r="F12" s="52"/>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3">
        <f ca="1">IF($D$13=$R$5,INDIRECT(ADDRESS(MATCH('【記入例-1】'!$D$12,$Q$1:$Q$9,0),COLUMN($AA$1))),$D$14)</f>
        <v>1.7</v>
      </c>
      <c r="J12" s="94">
        <f ca="1">IF($E$13=$R$5,INDIRECT(ADDRESS(MATCH('【記入例-1】'!$E$12,$Q$1:$Q$9,0),COLUMN($AA$1))),$E$14)</f>
        <v>0.7</v>
      </c>
      <c r="K12" s="94">
        <f ca="1">IF($F$13=$R$5,INDIRECT(ADDRESS(MATCH('【記入例-1】'!$F$12,$Q$1:$Q$9,0),COLUMN($AA$1))),$F$14)</f>
        <v>0</v>
      </c>
      <c r="L12" s="94"/>
      <c r="M12" s="94"/>
      <c r="N12" s="94"/>
      <c r="O12" s="94"/>
      <c r="P12" s="94"/>
      <c r="Q12" s="94"/>
      <c r="R12" s="94"/>
      <c r="S12" s="94"/>
      <c r="T12" s="94"/>
      <c r="U12" s="94"/>
      <c r="V12" s="94"/>
      <c r="W12" s="94"/>
      <c r="X12" s="94"/>
      <c r="Y12" s="94"/>
      <c r="Z12" s="94"/>
      <c r="AA12" s="94"/>
      <c r="AB12" s="94"/>
      <c r="AC12" s="94"/>
      <c r="AD12" s="96"/>
      <c r="AE12" s="88"/>
    </row>
    <row r="13" spans="1:31" ht="58.5" customHeight="1">
      <c r="A13" s="12"/>
      <c r="B13" s="21" t="s">
        <v>39</v>
      </c>
      <c r="C13" s="46" t="s">
        <v>38</v>
      </c>
      <c r="D13" s="48" t="s">
        <v>4</v>
      </c>
      <c r="E13" s="45" t="s">
        <v>30</v>
      </c>
      <c r="F13" s="49"/>
      <c r="G13" s="141"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※【構成2】「水平埋設型」において、デフォルト値のλを使う場合は、λ=0.7とする</v>
      </c>
      <c r="H13" s="16"/>
      <c r="I13" s="93">
        <f ca="1">INDIRECT(ADDRESS(I$9,COLUMN($U$1)))+INDIRECT(ADDRESS(I$9,COLUMN($V$1)))*D16</f>
        <v>1.3957</v>
      </c>
      <c r="J13" s="94">
        <f ca="1">INDIRECT(ADDRESS(J$9,COLUMN($U$1)))+INDIRECT(ADDRESS(J$9,COLUMN($V$1)))*E16</f>
        <v>1.6938870000000001</v>
      </c>
      <c r="K13" s="94" t="e">
        <f ca="1">INDIRECT(ADDRESS(K$9,COLUMN($U$1)))+INDIRECT(ADDRESS(K$9,COLUMN($V$1)))*F16</f>
        <v>#VALUE!</v>
      </c>
      <c r="L13" s="94"/>
      <c r="M13" s="94"/>
      <c r="N13" s="94"/>
      <c r="O13" s="94"/>
      <c r="P13" s="94"/>
      <c r="Q13" s="94"/>
      <c r="R13" s="94"/>
      <c r="S13" s="94"/>
      <c r="T13" s="94"/>
      <c r="U13" s="94"/>
      <c r="V13" s="94"/>
      <c r="W13" s="94"/>
      <c r="X13" s="94"/>
      <c r="Y13" s="94"/>
      <c r="Z13" s="94"/>
      <c r="AA13" s="94"/>
      <c r="AB13" s="94"/>
      <c r="AC13" s="94"/>
      <c r="AD13" s="96"/>
      <c r="AE13" s="88"/>
    </row>
    <row r="14" spans="1:31" ht="127.5" customHeight="1">
      <c r="A14" s="12"/>
      <c r="B14" s="22"/>
      <c r="C14" s="47" t="s">
        <v>71</v>
      </c>
      <c r="D14" s="72">
        <v>1.7</v>
      </c>
      <c r="E14" s="73">
        <v>0.7</v>
      </c>
      <c r="F14" s="74"/>
      <c r="G14" s="158"/>
      <c r="H14" s="16"/>
      <c r="I14" s="93">
        <f ca="1">INDIRECT(ADDRESS(I$9,COLUMN($Y$1)))+INDIRECT(ADDRESS(I$9,COLUMN($Z$1)))*D16</f>
        <v>-0.481</v>
      </c>
      <c r="J14" s="94">
        <f ca="1">INDIRECT(ADDRESS(J$9,COLUMN($Y$1)))+INDIRECT(ADDRESS(J$9,COLUMN($Z$1)))*E16</f>
        <v>-0.439</v>
      </c>
      <c r="K14" s="94" t="e">
        <f ca="1">INDIRECT(ADDRESS(K$9,COLUMN($Y$1)))+INDIRECT(ADDRESS(K$9,COLUMN($Z$1)))*F16</f>
        <v>#VALUE!</v>
      </c>
      <c r="L14" s="94"/>
      <c r="M14" s="94"/>
      <c r="N14" s="94"/>
      <c r="O14" s="94"/>
      <c r="P14" s="94"/>
      <c r="Q14" s="94"/>
      <c r="R14" s="94"/>
      <c r="S14" s="94"/>
      <c r="T14" s="94"/>
      <c r="U14" s="94"/>
      <c r="V14" s="94"/>
      <c r="W14" s="94"/>
      <c r="X14" s="94"/>
      <c r="Y14" s="94"/>
      <c r="Z14" s="94"/>
      <c r="AA14" s="94"/>
      <c r="AB14" s="94"/>
      <c r="AC14" s="94"/>
      <c r="AD14" s="96"/>
      <c r="AE14" s="88"/>
    </row>
    <row r="15" spans="1:31" ht="99.75" customHeight="1">
      <c r="A15" s="12"/>
      <c r="B15" s="33" t="s">
        <v>117</v>
      </c>
      <c r="C15" s="23" t="s">
        <v>66</v>
      </c>
      <c r="D15" s="75">
        <v>800</v>
      </c>
      <c r="E15" s="76">
        <v>240</v>
      </c>
      <c r="F15" s="77"/>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※「ダブルUチューブ」では地中熱交換器の長さの合計とする。
※「水平埋設型」では地中熱交換器を埋設するトレンチの水平方向長さの合計とする。
※地中熱交換器長は四捨五入して整数とした値で入力するものとする。</v>
      </c>
      <c r="H15" s="24"/>
      <c r="I15" s="93"/>
      <c r="J15" s="94"/>
      <c r="K15" s="94"/>
      <c r="L15" s="94"/>
      <c r="M15" s="94"/>
      <c r="N15" s="94"/>
      <c r="O15" s="94"/>
      <c r="P15" s="94"/>
      <c r="Q15" s="94"/>
      <c r="R15" s="94"/>
      <c r="S15" s="94"/>
      <c r="T15" s="94"/>
      <c r="U15" s="94"/>
      <c r="V15" s="94"/>
      <c r="W15" s="94"/>
      <c r="X15" s="94"/>
      <c r="Y15" s="94"/>
      <c r="Z15" s="94"/>
      <c r="AA15" s="94"/>
      <c r="AB15" s="94"/>
      <c r="AC15" s="94"/>
      <c r="AD15" s="96"/>
      <c r="AE15" s="88"/>
    </row>
    <row r="16" spans="1:31" ht="108.75" customHeight="1">
      <c r="A16" s="12"/>
      <c r="B16" s="84" t="s">
        <v>131</v>
      </c>
      <c r="C16" s="70" t="s">
        <v>130</v>
      </c>
      <c r="D16" s="78"/>
      <c r="E16" s="79"/>
      <c r="F16" s="80"/>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3"/>
      <c r="J16" s="94"/>
      <c r="K16" s="94"/>
      <c r="L16" s="94"/>
      <c r="M16" s="94"/>
      <c r="N16" s="94"/>
      <c r="O16" s="94"/>
      <c r="P16" s="94"/>
      <c r="Q16" s="94"/>
      <c r="R16" s="94"/>
      <c r="S16" s="94"/>
      <c r="T16" s="94"/>
      <c r="U16" s="94"/>
      <c r="V16" s="94"/>
      <c r="W16" s="94"/>
      <c r="X16" s="94"/>
      <c r="Y16" s="94"/>
      <c r="Z16" s="94"/>
      <c r="AA16" s="94"/>
      <c r="AB16" s="94"/>
      <c r="AC16" s="94"/>
      <c r="AD16" s="96"/>
      <c r="AE16" s="88"/>
    </row>
    <row r="17" spans="1:31" ht="36" customHeight="1">
      <c r="A17" s="12"/>
      <c r="B17" s="25" t="s">
        <v>94</v>
      </c>
      <c r="C17" s="36" t="s">
        <v>67</v>
      </c>
      <c r="D17" s="159">
        <v>56</v>
      </c>
      <c r="E17" s="160"/>
      <c r="F17" s="161"/>
      <c r="G17" s="162" t="s">
        <v>35</v>
      </c>
      <c r="H17" s="16"/>
      <c r="I17" s="93"/>
      <c r="J17" s="94"/>
      <c r="K17" s="94"/>
      <c r="L17" s="94"/>
      <c r="M17" s="94"/>
      <c r="N17" s="94"/>
      <c r="O17" s="94"/>
      <c r="P17" s="94"/>
      <c r="Q17" s="94"/>
      <c r="R17" s="94"/>
      <c r="S17" s="94"/>
      <c r="T17" s="94"/>
      <c r="U17" s="94"/>
      <c r="V17" s="94"/>
      <c r="W17" s="94"/>
      <c r="X17" s="94"/>
      <c r="Y17" s="94"/>
      <c r="Z17" s="94"/>
      <c r="AA17" s="94"/>
      <c r="AB17" s="94"/>
      <c r="AC17" s="94"/>
      <c r="AD17" s="96"/>
      <c r="AE17" s="88"/>
    </row>
    <row r="18" spans="1:31" ht="36" customHeight="1">
      <c r="A18" s="12"/>
      <c r="B18" s="22"/>
      <c r="C18" s="36" t="s">
        <v>68</v>
      </c>
      <c r="D18" s="159">
        <v>63</v>
      </c>
      <c r="E18" s="160"/>
      <c r="F18" s="161"/>
      <c r="G18" s="142"/>
      <c r="H18" s="16"/>
      <c r="I18" s="93"/>
      <c r="J18" s="94"/>
      <c r="K18" s="94"/>
      <c r="L18" s="94"/>
      <c r="M18" s="94"/>
      <c r="N18" s="94"/>
      <c r="O18" s="94"/>
      <c r="P18" s="94"/>
      <c r="Q18" s="94"/>
      <c r="R18" s="94"/>
      <c r="S18" s="94"/>
      <c r="T18" s="94"/>
      <c r="U18" s="94"/>
      <c r="V18" s="94"/>
      <c r="W18" s="94"/>
      <c r="X18" s="94"/>
      <c r="Y18" s="94"/>
      <c r="Z18" s="94"/>
      <c r="AA18" s="94"/>
      <c r="AB18" s="94"/>
      <c r="AC18" s="94"/>
      <c r="AD18" s="96"/>
      <c r="AE18" s="88"/>
    </row>
    <row r="19" spans="1:31" ht="36" customHeight="1">
      <c r="A19" s="12"/>
      <c r="B19" s="26" t="s">
        <v>95</v>
      </c>
      <c r="C19" s="36" t="s">
        <v>69</v>
      </c>
      <c r="D19" s="159">
        <v>12.7</v>
      </c>
      <c r="E19" s="160"/>
      <c r="F19" s="161"/>
      <c r="G19" s="142"/>
      <c r="H19" s="16"/>
      <c r="I19" s="93"/>
      <c r="J19" s="94"/>
      <c r="K19" s="94"/>
      <c r="L19" s="94"/>
      <c r="M19" s="94"/>
      <c r="N19" s="94"/>
      <c r="O19" s="94"/>
      <c r="P19" s="94"/>
      <c r="Q19" s="94"/>
      <c r="R19" s="94"/>
      <c r="S19" s="94"/>
      <c r="T19" s="94"/>
      <c r="U19" s="94"/>
      <c r="V19" s="94"/>
      <c r="W19" s="94"/>
      <c r="X19" s="94"/>
      <c r="Y19" s="94"/>
      <c r="Z19" s="94"/>
      <c r="AA19" s="94"/>
      <c r="AB19" s="94"/>
      <c r="AC19" s="94"/>
      <c r="AD19" s="96"/>
      <c r="AE19" s="88"/>
    </row>
    <row r="20" spans="1:31" ht="31.5" thickBot="1">
      <c r="A20" s="12"/>
      <c r="B20" s="22"/>
      <c r="C20" s="36" t="s">
        <v>70</v>
      </c>
      <c r="D20" s="163">
        <v>9.8</v>
      </c>
      <c r="E20" s="164"/>
      <c r="F20" s="165"/>
      <c r="G20" s="143"/>
      <c r="H20" s="16"/>
      <c r="I20" s="93" t="str">
        <f ca="1">IF(D$14&gt;0,INDIRECT(ADDRESS(I$9,COLUMN($S$1)))&amp;IF(INDIRECT(ADDRESS(I$9,COLUMN($V$1)))=0,"",ROUND(D16,3))&amp;INDIRECT(ADDRESS(I$9,COLUMN($T$1)))&amp;ROUND(D$14,1)&amp;"^("&amp;INDIRECT(ADDRESS(I$9,COLUMN($W$1)))&amp;IF(INDIRECT(ADDRESS(I$9,COLUMN($V$1)))=0,"",ROUND(D16,3)&amp;INDIRECT(ADDRESS(I$9,COLUMN($X$1))))&amp;")","")</f>
        <v>1.3957×1.7^(-0.481)</v>
      </c>
      <c r="J20" s="94"/>
      <c r="K20" s="94"/>
      <c r="L20" s="94"/>
      <c r="M20" s="94"/>
      <c r="N20" s="94"/>
      <c r="O20" s="94"/>
      <c r="P20" s="94"/>
      <c r="Q20" s="94"/>
      <c r="R20" s="94"/>
      <c r="S20" s="94"/>
      <c r="T20" s="94"/>
      <c r="U20" s="94"/>
      <c r="V20" s="94"/>
      <c r="W20" s="94"/>
      <c r="X20" s="94"/>
      <c r="Y20" s="94"/>
      <c r="Z20" s="94"/>
      <c r="AA20" s="94"/>
      <c r="AB20" s="94"/>
      <c r="AC20" s="94"/>
      <c r="AD20" s="96"/>
      <c r="AE20" s="88"/>
    </row>
    <row r="21" spans="4:31" ht="6" customHeight="1" thickTop="1">
      <c r="D21" s="17"/>
      <c r="E21" s="17"/>
      <c r="F21" s="17"/>
      <c r="G21" s="17"/>
      <c r="H21" s="16"/>
      <c r="I21" s="93"/>
      <c r="J21" s="94"/>
      <c r="K21" s="94"/>
      <c r="L21" s="94"/>
      <c r="M21" s="94"/>
      <c r="N21" s="94"/>
      <c r="O21" s="94"/>
      <c r="P21" s="94"/>
      <c r="Q21" s="94"/>
      <c r="R21" s="94"/>
      <c r="S21" s="94"/>
      <c r="T21" s="94"/>
      <c r="U21" s="94"/>
      <c r="V21" s="94"/>
      <c r="W21" s="94"/>
      <c r="X21" s="94"/>
      <c r="Y21" s="94"/>
      <c r="Z21" s="94"/>
      <c r="AA21" s="94"/>
      <c r="AB21" s="94"/>
      <c r="AC21" s="94"/>
      <c r="AD21" s="96"/>
      <c r="AE21" s="88"/>
    </row>
    <row r="22" spans="2:31" ht="18" customHeight="1">
      <c r="B22" s="17" t="s">
        <v>36</v>
      </c>
      <c r="C22" s="27"/>
      <c r="D22" s="17"/>
      <c r="E22" s="17"/>
      <c r="F22" s="17"/>
      <c r="G22" s="17"/>
      <c r="I22" s="93"/>
      <c r="J22" s="94" t="str">
        <f ca="1">IF(E$14&gt;0,INDIRECT(ADDRESS(J$9,COLUMN($S$1)))&amp;IF(INDIRECT(ADDRESS(J$9,COLUMN($V$1)))=0,"",ROUND(E16,3))&amp;INDIRECT(ADDRESS(J$9,COLUMN($T$1)))&amp;ROUND(E$14,1)&amp;"^("&amp;INDIRECT(ADDRESS(J$9,COLUMN($W$1)))&amp;IF(INDIRECT(ADDRESS(J$9,COLUMN($V$1)))=0,"",ROUND(E16,3)&amp;INDIRECT(ADDRESS(J$9,COLUMN($X$1))))&amp;")","")</f>
        <v>1.0023×1.3×1.3×0.7^(-0.439)</v>
      </c>
      <c r="K22" s="94"/>
      <c r="L22" s="94"/>
      <c r="M22" s="94"/>
      <c r="N22" s="94"/>
      <c r="O22" s="94"/>
      <c r="P22" s="94"/>
      <c r="Q22" s="94"/>
      <c r="R22" s="94"/>
      <c r="S22" s="94"/>
      <c r="T22" s="94"/>
      <c r="U22" s="94"/>
      <c r="V22" s="94"/>
      <c r="W22" s="94"/>
      <c r="X22" s="94"/>
      <c r="Y22" s="94"/>
      <c r="Z22" s="94"/>
      <c r="AA22" s="94"/>
      <c r="AB22" s="94"/>
      <c r="AC22" s="94"/>
      <c r="AD22" s="96"/>
      <c r="AE22" s="88"/>
    </row>
    <row r="23" spans="2:31" ht="27" customHeight="1">
      <c r="B23" s="18"/>
      <c r="C23" s="144" t="s">
        <v>61</v>
      </c>
      <c r="D23" s="145"/>
      <c r="E23" s="145"/>
      <c r="F23" s="146"/>
      <c r="G23" s="20" t="s">
        <v>116</v>
      </c>
      <c r="I23" s="93"/>
      <c r="J23" s="94"/>
      <c r="K23" s="94">
        <f ca="1">IF(F$14&gt;0,INDIRECT(ADDRESS(K$9,COLUMN($S$1)))&amp;IF(INDIRECT(ADDRESS(K$9,COLUMN($V$1)))=0,"",ROUND(F16,3))&amp;INDIRECT(ADDRESS(K$9,COLUMN($T$1)))&amp;ROUND(F$14,1)&amp;"^("&amp;INDIRECT(ADDRESS(K$9,COLUMN($W$1)))&amp;IF(INDIRECT(ADDRESS(K$9,COLUMN($V$1)))=0,"",ROUND(F16,3)&amp;INDIRECT(ADDRESS(K$9,COLUMN($X$1))))&amp;")","")</f>
      </c>
      <c r="L23" s="94"/>
      <c r="M23" s="94"/>
      <c r="N23" s="94"/>
      <c r="O23" s="94"/>
      <c r="P23" s="94"/>
      <c r="Q23" s="94"/>
      <c r="R23" s="94"/>
      <c r="S23" s="94"/>
      <c r="T23" s="94"/>
      <c r="U23" s="94"/>
      <c r="V23" s="94"/>
      <c r="W23" s="94"/>
      <c r="X23" s="94"/>
      <c r="Y23" s="94"/>
      <c r="Z23" s="94"/>
      <c r="AA23" s="94"/>
      <c r="AB23" s="94"/>
      <c r="AC23" s="94"/>
      <c r="AD23" s="96"/>
      <c r="AE23" s="88"/>
    </row>
    <row r="24" spans="1:31" ht="103.5" customHeight="1">
      <c r="A24" s="12"/>
      <c r="B24" s="21" t="s">
        <v>91</v>
      </c>
      <c r="C24" s="41" t="s">
        <v>72</v>
      </c>
      <c r="D24" s="87">
        <f>IF(D$14&lt;=0,"",ROUND(I13*ROUND(D$14,1)^I14,2))</f>
        <v>1.08</v>
      </c>
      <c r="E24" s="87">
        <f>IF(E$14&lt;=0,"",ROUND(J13*ROUND(E$14,1)^J14,2))</f>
        <v>1.98</v>
      </c>
      <c r="F24" s="87">
        <f>IF(F$14&lt;=0,"",ROUND(K13*ROUND(F$14,1)^K14,2))</f>
      </c>
      <c r="G24" s="28" t="str">
        <f>IF(D$14&gt;0,"l1 = "&amp;I20&amp;CHAR(10),"")&amp;IF(E$14&gt;0,"l2 = "&amp;J22&amp;CHAR(10),"")&amp;IF(F$14&gt;0,"l3 = "&amp;K23&amp;CHAR(10),"")&amp;" ※liは小数点以下2桁とする"</f>
        <v>l1 = 1.3957×1.7^(-0.481)
l2 = 1.0023×1.3×1.3×0.7^(-0.439)
 ※liは小数点以下2桁とする</v>
      </c>
      <c r="H24" s="9"/>
      <c r="I24" s="93" t="b">
        <f>OR(D$24&lt;&gt;IF(D$14&lt;=0,"",ROUND(I13*ROUND(D$14,1)^I14,2)),E$24&lt;&gt;IF(E$14&lt;=0,"",ROUND(J13*ROUND(E$14,1)^J14,2)),F$24&lt;&gt;IF(F$14&lt;=0,"",ROUND(K13*ROUND(F$14,1)^K14,2)))</f>
        <v>0</v>
      </c>
      <c r="J24" s="94"/>
      <c r="K24" s="94"/>
      <c r="L24" s="94"/>
      <c r="M24" s="94"/>
      <c r="N24" s="94"/>
      <c r="O24" s="94"/>
      <c r="P24" s="94"/>
      <c r="Q24" s="94"/>
      <c r="R24" s="94"/>
      <c r="S24" s="94"/>
      <c r="T24" s="94"/>
      <c r="U24" s="94"/>
      <c r="V24" s="94"/>
      <c r="W24" s="94"/>
      <c r="X24" s="94"/>
      <c r="Y24" s="94"/>
      <c r="Z24" s="94"/>
      <c r="AA24" s="94"/>
      <c r="AB24" s="94"/>
      <c r="AC24" s="94"/>
      <c r="AD24" s="96"/>
      <c r="AE24" s="88"/>
    </row>
    <row r="25" spans="1:8" ht="65.25" customHeight="1">
      <c r="A25" s="12"/>
      <c r="B25" s="31"/>
      <c r="C25" s="41" t="s">
        <v>73</v>
      </c>
      <c r="D25" s="81">
        <f>IF(AND(D15&gt;0,D24&gt;0,D14&gt;0),ROUND(D$15/D$24,0),"")</f>
        <v>741</v>
      </c>
      <c r="E25" s="81">
        <f>IF(AND(E15&gt;0,E24&gt;0,E14&gt;0),ROUND(E$15/E$24,0),"")</f>
        <v>121</v>
      </c>
      <c r="F25" s="81">
        <f>IF(AND(F15&gt;0,F24&gt;0,F14&gt;0),ROUND(F$15/F$24,0),"")</f>
      </c>
      <c r="G25" s="28" t="str">
        <f>IF(AND(D15&gt;0,D24&gt;0,D14&gt;0)," L1' = L1/l1 = "&amp;D$15&amp;"/"&amp;ROUND(D$24,2)&amp;CHAR(10),"")&amp;IF(AND(E15&gt;0,E24&gt;0,E14&gt;0)," L2' = L2/l2 = "&amp;E$15&amp;"/"&amp;ROUND(E$24,2)&amp;CHAR(10),"")&amp;IF(AND(F15&gt;0,F24&gt;0,F14&gt;0)," L3' = L3/l3 = "&amp;F$15&amp;"/"&amp;ROUND(F$24,2)&amp;CHAR(10),"")&amp;" ※Li'は整数とする"</f>
        <v> L1' = L1/l1 = 800/1.08
 L2' = L2/l2 = 240/1.98
 ※Li'は整数とする</v>
      </c>
      <c r="H25" s="9"/>
    </row>
    <row r="26" spans="1:12" ht="28.5" customHeight="1">
      <c r="A26" s="12"/>
      <c r="B26" s="22"/>
      <c r="C26" s="41" t="s">
        <v>74</v>
      </c>
      <c r="D26" s="136">
        <f>IF(SUM(D25:F25)&gt;0,SUM(D25:F25),"")</f>
        <v>862</v>
      </c>
      <c r="E26" s="136"/>
      <c r="F26" s="136"/>
      <c r="G26" s="28" t="str">
        <f>IF(D26="",""," L' = Σ Li' ="&amp;IF(D25&lt;&gt;"",ROUND(D25,0),"")&amp;IF(AND(D25&lt;&gt;"",E25&lt;&gt;""),"+","")&amp;IF(E25&lt;&gt;"",ROUND(E25,0),"")&amp;IF(F25&lt;&gt;"","+","")&amp;IF(F25&lt;&gt;"",ROUND(F25,0),""))</f>
        <v> L' = Σ Li' =741+121</v>
      </c>
      <c r="H26" s="16"/>
      <c r="J26" s="104"/>
      <c r="K26" s="104"/>
      <c r="L26" s="104"/>
    </row>
    <row r="27" spans="1:7" ht="28.5" customHeight="1">
      <c r="A27" s="12"/>
      <c r="B27" s="29" t="s">
        <v>9</v>
      </c>
      <c r="C27" s="41" t="s">
        <v>75</v>
      </c>
      <c r="D27" s="166">
        <f>IF(OR(D17="",D19=""),"",IF($I$10="H","―",ROUND($D$17+$D$19,1)))</f>
        <v>68.7</v>
      </c>
      <c r="E27" s="166"/>
      <c r="F27" s="166"/>
      <c r="G27" s="30" t="str">
        <f>IF(D27="","",IF($I$10="H"," ※"&amp;$D$10&amp;"では非考慮 【"&amp;$I$2&amp;"】"," = "&amp;$D$17&amp;" + "&amp;$D$19))</f>
        <v> = 56 + 12.7</v>
      </c>
    </row>
    <row r="28" spans="1:7" ht="28.5" customHeight="1">
      <c r="A28" s="12"/>
      <c r="B28" s="31"/>
      <c r="C28" s="41" t="s">
        <v>76</v>
      </c>
      <c r="D28" s="166">
        <f>IF(OR(D18="",D20=""),"",ROUND($D$18-$D$20,1))</f>
        <v>53.2</v>
      </c>
      <c r="E28" s="166"/>
      <c r="F28" s="166"/>
      <c r="G28" s="30" t="str">
        <f>IF(D28="",""," = "&amp;$D$18&amp;" - "&amp;$D$20)</f>
        <v> = 63 - 9.8</v>
      </c>
    </row>
    <row r="29" spans="1:7" ht="28.5" customHeight="1">
      <c r="A29" s="12"/>
      <c r="B29" s="32"/>
      <c r="C29" s="41" t="s">
        <v>77</v>
      </c>
      <c r="D29" s="166">
        <f>IF(OR(D27="",D28=""),"",IF($I$10="H",$D$28,MAX($D$27:$F$28)))</f>
        <v>68.7</v>
      </c>
      <c r="E29" s="166"/>
      <c r="F29" s="166"/>
      <c r="G29" s="30" t="str">
        <f>IF(D29="","",IF($I$10="H"," ← H = HH' = "&amp;$D$28&amp;"  ("&amp;$D$10&amp;")"," ← H = "&amp;MAX($D$27:$D$28)&amp;"≧"&amp;MIN($D$27:$D$28)))</f>
        <v> ← H = 68.7≧53.2</v>
      </c>
    </row>
    <row r="30" spans="1:7" ht="28.5" customHeight="1">
      <c r="A30" s="12"/>
      <c r="B30" s="20" t="s">
        <v>32</v>
      </c>
      <c r="C30" s="41" t="s">
        <v>78</v>
      </c>
      <c r="D30" s="166">
        <f>IF(OR(D26="",D29=""),"",ROUND(1000*$D$29/$D$26,1))</f>
        <v>79.7</v>
      </c>
      <c r="E30" s="166"/>
      <c r="F30" s="166"/>
      <c r="G30" s="28" t="str">
        <f>IF(D30="",""," Q' = 1000×H/L' = 1000×"&amp;$D$29&amp;"/"&amp;ROUND($D$26,1)&amp;CHAR(10)&amp;" ※Q'は小数点以下1桁とする")</f>
        <v> Q' = 1000×H/L' = 1000×68.7/862
 ※Q'は小数点以下1桁とする</v>
      </c>
    </row>
    <row r="31" spans="1:7" ht="28.5" customHeight="1">
      <c r="A31" s="12"/>
      <c r="B31" s="18" t="s">
        <v>11</v>
      </c>
      <c r="C31" s="51"/>
      <c r="D31" s="138" t="str">
        <f>IF(D30="","",IF($D$30&lt;30,"タイプ1",IF($D$30&lt;50,"タイプ2",IF($D$30&lt;70,"タイプ3",IF($D$30&lt;90,"タイプ4",IF($D$30&gt;=90,"タイプ5",""))))))</f>
        <v>タイプ4</v>
      </c>
      <c r="E31" s="138"/>
      <c r="F31" s="139"/>
      <c r="G31" s="30" t="str">
        <f>IF(D31="","",IF($D$30&lt;30," ← Q'＜30[W/m]",IF($D$30&lt;50," ← 30≦Q'＜50[W/m]",IF($D$30&lt;70," ← 50≦Q'＜70[W/m]",IF($D$30&lt;90," ← 70≦Q'＜90[W/m]",IF($D$30&gt;=90," ← Q'≧90[W/m]",""))))))</f>
        <v> ← 70≦Q'＜90[W/m]</v>
      </c>
    </row>
    <row r="32" spans="2:6" ht="12.75">
      <c r="B32" s="17"/>
      <c r="C32" s="17"/>
      <c r="D32" s="17"/>
      <c r="E32" s="17"/>
      <c r="F32" s="17"/>
    </row>
    <row r="33" spans="2:7" ht="12.75">
      <c r="B33" s="133" t="s">
        <v>33</v>
      </c>
      <c r="C33" s="134"/>
      <c r="D33" s="134"/>
      <c r="E33" s="134"/>
      <c r="F33" s="134"/>
      <c r="G33" s="135"/>
    </row>
    <row r="34" spans="2:7" ht="28.5" customHeight="1">
      <c r="B34" s="133" t="s">
        <v>34</v>
      </c>
      <c r="C34" s="134"/>
      <c r="D34" s="134"/>
      <c r="E34" s="134"/>
      <c r="F34" s="134"/>
      <c r="G34" s="135"/>
    </row>
    <row r="35" spans="2:7" ht="27" customHeight="1">
      <c r="B35" s="133" t="s">
        <v>13</v>
      </c>
      <c r="C35" s="134"/>
      <c r="D35" s="134"/>
      <c r="E35" s="134"/>
      <c r="F35" s="134"/>
      <c r="G35" s="135"/>
    </row>
    <row r="36" spans="2:7" ht="30" customHeight="1">
      <c r="B36" s="133" t="s">
        <v>45</v>
      </c>
      <c r="C36" s="134"/>
      <c r="D36" s="134"/>
      <c r="E36" s="134"/>
      <c r="F36" s="134"/>
      <c r="G36" s="135"/>
    </row>
    <row r="37" spans="2:7" ht="12.75">
      <c r="B37" s="133" t="s">
        <v>128</v>
      </c>
      <c r="C37" s="134"/>
      <c r="D37" s="134"/>
      <c r="E37" s="134"/>
      <c r="F37" s="134"/>
      <c r="G37" s="135"/>
    </row>
    <row r="38" spans="2:7" ht="30" customHeight="1">
      <c r="B38" s="133" t="s">
        <v>129</v>
      </c>
      <c r="C38" s="134"/>
      <c r="D38" s="134"/>
      <c r="E38" s="134"/>
      <c r="F38" s="134"/>
      <c r="G38" s="135"/>
    </row>
    <row r="39" ht="3.75" customHeight="1"/>
  </sheetData>
  <sheetProtection/>
  <mergeCells count="22">
    <mergeCell ref="B38:G38"/>
    <mergeCell ref="D31:F31"/>
    <mergeCell ref="B33:G33"/>
    <mergeCell ref="B34:G34"/>
    <mergeCell ref="B35:G35"/>
    <mergeCell ref="B36:G36"/>
    <mergeCell ref="B37:G37"/>
    <mergeCell ref="C23:F23"/>
    <mergeCell ref="D26:F26"/>
    <mergeCell ref="D27:F27"/>
    <mergeCell ref="D28:F28"/>
    <mergeCell ref="D29:F29"/>
    <mergeCell ref="D30:F30"/>
    <mergeCell ref="C9:F9"/>
    <mergeCell ref="D10:F10"/>
    <mergeCell ref="B11:C11"/>
    <mergeCell ref="G13:G14"/>
    <mergeCell ref="D17:F17"/>
    <mergeCell ref="G17:G20"/>
    <mergeCell ref="D18:F18"/>
    <mergeCell ref="D19:F19"/>
    <mergeCell ref="D20:F20"/>
  </mergeCells>
  <conditionalFormatting sqref="G24">
    <cfRule type="expression" priority="15" dxfId="63" stopIfTrue="1">
      <formula>$I$24</formula>
    </cfRule>
  </conditionalFormatting>
  <conditionalFormatting sqref="G25">
    <cfRule type="expression" priority="16" dxfId="63" stopIfTrue="1">
      <formula>OR('【記入例-1】'!#REF!&lt;&gt;IF(AND('【記入例-1】'!#REF!&gt;0,'【記入例-1】'!#REF!&gt;0,'【記入例-1】'!#REF!&gt;0),ROUND('【記入例-1】'!#REF!/'【記入例-1】'!#REF!,0),""),'【記入例-1】'!#REF!&lt;&gt;IF(AND('【記入例-1】'!#REF!&gt;0,'【記入例-1】'!#REF!&gt;0,'【記入例-1】'!#REF!&gt;0),ROUND('【記入例-1】'!#REF!/'【記入例-1】'!#REF!,0),""),'【記入例-1】'!#REF!&lt;&gt;IF(AND('【記入例-1】'!#REF!&gt;0,'【記入例-1】'!#REF!&gt;0,'【記入例-1】'!#REF!&gt;0),ROUND('【記入例-1】'!#REF!/'【記入例-1】'!#REF!,0),""))</formula>
    </cfRule>
  </conditionalFormatting>
  <conditionalFormatting sqref="G28">
    <cfRule type="expression" priority="19" dxfId="63" stopIfTrue="1">
      <formula>ROUND($D$28,1)&lt;&gt;ROUND($D$18-$D$20,1)</formula>
    </cfRule>
  </conditionalFormatting>
  <conditionalFormatting sqref="G30">
    <cfRule type="expression" priority="20" dxfId="63" stopIfTrue="1">
      <formula>$D$30&lt;&gt;ROUND(1000*$D$29/$D$26,1)</formula>
    </cfRule>
  </conditionalFormatting>
  <conditionalFormatting sqref="G31">
    <cfRule type="expression" priority="21" dxfId="63" stopIfTrue="1">
      <formula>ROUND($D$31,2)&lt;&gt;ROUND(IF($D$30&lt;30,"タイプ1",IF($D$30&lt;50,"タイプ2",IF($D$30&lt;70,"タイプ3",IF($D$30&lt;90,"タイプ4",IF($D$30&gt;=90,"タイプ5",""))))),2)</formula>
    </cfRule>
  </conditionalFormatting>
  <conditionalFormatting sqref="G27">
    <cfRule type="expression" priority="18" dxfId="63" stopIfTrue="1">
      <formula>ROUND($D$27,2)&lt;&gt;ROUND(IF($I$10="H","―",ROUND($D$17+$D$19,1)),2)</formula>
    </cfRule>
  </conditionalFormatting>
  <conditionalFormatting sqref="G29">
    <cfRule type="expression" priority="22" dxfId="63" stopIfTrue="1">
      <formula>ROUND($D$29,2)&lt;&gt;ROUND(IF($I$10="H",$D$28,MAX($D$27:$D$28)),2)</formula>
    </cfRule>
  </conditionalFormatting>
  <conditionalFormatting sqref="G26">
    <cfRule type="expression" priority="17" dxfId="64" stopIfTrue="1">
      <formula>ROUND($D$26,1)&lt;&gt;ROUND(SUM('【記入例-1】'!#REF!),1)</formula>
    </cfRule>
  </conditionalFormatting>
  <conditionalFormatting sqref="F12:F14">
    <cfRule type="expression" priority="7" dxfId="63" stopIfTrue="1">
      <formula>$F$14&lt;&gt;$K$12</formula>
    </cfRule>
  </conditionalFormatting>
  <conditionalFormatting sqref="E12:E14">
    <cfRule type="expression" priority="6" dxfId="64" stopIfTrue="1">
      <formula>$E$14&lt;&gt;$J$12</formula>
    </cfRule>
  </conditionalFormatting>
  <conditionalFormatting sqref="D12:D14">
    <cfRule type="expression" priority="5" dxfId="64" stopIfTrue="1">
      <formula>$D$14&lt;&gt;$I$12</formula>
    </cfRule>
  </conditionalFormatting>
  <conditionalFormatting sqref="D16:F16">
    <cfRule type="expression" priority="4" dxfId="62">
      <formula>MATCH(D12,$Q$1:$Q$8,0)&lt;=5</formula>
    </cfRule>
  </conditionalFormatting>
  <conditionalFormatting sqref="D16 D12">
    <cfRule type="expression" priority="3" dxfId="64">
      <formula>OR(AND($D$12=$Q$6,$D$16&gt;=0.6),AND($D$12=$Q$7,$D$16&lt;0.6))</formula>
    </cfRule>
  </conditionalFormatting>
  <conditionalFormatting sqref="E16 E12">
    <cfRule type="expression" priority="2" dxfId="64" stopIfTrue="1">
      <formula>OR(AND($E$12=$Q$6,$E$16&gt;=0.6),AND($E$12=$Q$7,$E$16&lt;0.6))</formula>
    </cfRule>
  </conditionalFormatting>
  <conditionalFormatting sqref="F16 F12">
    <cfRule type="expression" priority="1" dxfId="64" stopIfTrue="1">
      <formula>OR(AND($F$12=$Q$6,$F$16&gt;=0.6),AND($F$12=$Q$7,$F$16&lt;0.6))</formula>
    </cfRule>
  </conditionalFormatting>
  <dataValidations count="4">
    <dataValidation type="list" allowBlank="1" showInputMessage="1" showErrorMessage="1" sqref="D13:F13">
      <formula1>$R$2:$R$5</formula1>
    </dataValidation>
    <dataValidation type="list" allowBlank="1" showInputMessage="1" showErrorMessage="1" sqref="D10">
      <formula1>$P$2:$P$10</formula1>
    </dataValidation>
    <dataValidation type="list" allowBlank="1" showInputMessage="1" showErrorMessage="1" sqref="D12:F12">
      <formula1>$Q$2:$Q$9</formula1>
    </dataValidation>
    <dataValidation type="list" allowBlank="1" showInputMessage="1" showErrorMessage="1" sqref="I2">
      <formula1>"住宅,非住宅建築物"</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E42" sqref="E42"/>
    </sheetView>
  </sheetViews>
  <sheetFormatPr defaultColWidth="8.87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0" bestFit="1" customWidth="1"/>
    <col min="10" max="10" width="8.875" style="101" customWidth="1"/>
    <col min="11" max="11" width="8.125" style="101" customWidth="1"/>
    <col min="12" max="14" width="2.00390625" style="101" customWidth="1"/>
    <col min="15" max="15" width="2.125" style="101" customWidth="1"/>
    <col min="16" max="16" width="13.125" style="101" bestFit="1" customWidth="1"/>
    <col min="17" max="17" width="23.875" style="101" bestFit="1" customWidth="1"/>
    <col min="18" max="18" width="64.875" style="101" bestFit="1" customWidth="1"/>
    <col min="19" max="19" width="20.875" style="101" bestFit="1" customWidth="1"/>
    <col min="20" max="20" width="20.875" style="101" customWidth="1"/>
    <col min="21" max="21" width="17.625" style="101" bestFit="1" customWidth="1"/>
    <col min="22" max="22" width="17.625" style="101" customWidth="1"/>
    <col min="23" max="24" width="22.125" style="101" bestFit="1" customWidth="1"/>
    <col min="25" max="25" width="9.50390625" style="101" bestFit="1" customWidth="1"/>
    <col min="26" max="26" width="9.50390625" style="101" customWidth="1"/>
    <col min="27" max="27" width="17.00390625" style="101" bestFit="1" customWidth="1"/>
    <col min="28" max="29" width="8.875" style="102" customWidth="1"/>
    <col min="30" max="30" width="8.875" style="103" customWidth="1"/>
    <col min="31" max="16384" width="8.875" style="9" customWidth="1"/>
  </cols>
  <sheetData>
    <row r="1" spans="1:31" ht="13.5" thickBot="1">
      <c r="A1" s="4"/>
      <c r="B1" s="2"/>
      <c r="C1" s="2"/>
      <c r="D1" s="5"/>
      <c r="E1" s="37"/>
      <c r="F1" s="37"/>
      <c r="G1" s="3"/>
      <c r="H1" s="8"/>
      <c r="I1" s="89"/>
      <c r="J1" s="90"/>
      <c r="K1" s="90"/>
      <c r="L1" s="90"/>
      <c r="M1" s="90"/>
      <c r="N1" s="90"/>
      <c r="O1" s="91"/>
      <c r="P1" s="91" t="s">
        <v>15</v>
      </c>
      <c r="Q1" s="91" t="s">
        <v>24</v>
      </c>
      <c r="R1" s="91" t="s">
        <v>28</v>
      </c>
      <c r="S1" s="91" t="s">
        <v>79</v>
      </c>
      <c r="T1" s="91" t="s">
        <v>80</v>
      </c>
      <c r="U1" s="91" t="s">
        <v>6</v>
      </c>
      <c r="V1" s="91" t="s">
        <v>63</v>
      </c>
      <c r="W1" s="91" t="s">
        <v>86</v>
      </c>
      <c r="X1" s="91" t="s">
        <v>87</v>
      </c>
      <c r="Y1" s="91" t="s">
        <v>5</v>
      </c>
      <c r="Z1" s="91" t="s">
        <v>64</v>
      </c>
      <c r="AA1" s="91" t="s">
        <v>12</v>
      </c>
      <c r="AB1" s="91"/>
      <c r="AC1" s="91"/>
      <c r="AD1" s="92"/>
      <c r="AE1" s="88"/>
    </row>
    <row r="2" spans="1:31" ht="27" customHeight="1" thickTop="1">
      <c r="A2" s="4"/>
      <c r="B2" s="105" t="str">
        <f>"【"&amp;$I$2&amp;"用】 地中熱交換器タイプ確認シート(Ver.3.0)"</f>
        <v>【非住宅建築物用】 地中熱交換器タイプ確認シート(Ver.3.0)</v>
      </c>
      <c r="C2" s="34"/>
      <c r="D2" s="1"/>
      <c r="E2" s="1"/>
      <c r="F2" s="1" t="s">
        <v>1</v>
      </c>
      <c r="G2" s="54" t="s">
        <v>118</v>
      </c>
      <c r="H2" s="16"/>
      <c r="I2" s="93" t="s">
        <v>133</v>
      </c>
      <c r="J2" s="94"/>
      <c r="K2" s="94"/>
      <c r="L2" s="95"/>
      <c r="M2" s="95"/>
      <c r="N2" s="95"/>
      <c r="O2" s="94"/>
      <c r="P2" s="94"/>
      <c r="Q2" s="94"/>
      <c r="R2" s="94"/>
      <c r="S2" s="94"/>
      <c r="T2" s="94"/>
      <c r="U2" s="94"/>
      <c r="V2" s="94"/>
      <c r="W2" s="94"/>
      <c r="X2" s="94"/>
      <c r="Y2" s="94"/>
      <c r="Z2" s="94"/>
      <c r="AA2" s="94"/>
      <c r="AB2" s="94"/>
      <c r="AC2" s="94"/>
      <c r="AD2" s="96"/>
      <c r="AE2" s="88"/>
    </row>
    <row r="3" spans="1:31" ht="27" customHeight="1" thickBot="1">
      <c r="A3" s="4"/>
      <c r="B3" s="2" t="str">
        <f ca="1">RIGHT(CELL("filename",B3),LEN(CELL("filename",B3))-FIND("]",CELL("filename",B3)))</f>
        <v>【記入例-2】</v>
      </c>
      <c r="C3" s="2"/>
      <c r="D3" s="1"/>
      <c r="E3" s="1"/>
      <c r="F3" s="1" t="s">
        <v>0</v>
      </c>
      <c r="G3" s="53" t="s">
        <v>10</v>
      </c>
      <c r="H3" s="16"/>
      <c r="I3" s="93"/>
      <c r="J3" s="94"/>
      <c r="K3" s="94"/>
      <c r="L3" s="95"/>
      <c r="M3" s="95"/>
      <c r="N3" s="95"/>
      <c r="O3" s="94"/>
      <c r="P3" s="94" t="s">
        <v>16</v>
      </c>
      <c r="Q3" s="94" t="s">
        <v>25</v>
      </c>
      <c r="R3" s="94" t="s">
        <v>4</v>
      </c>
      <c r="S3" s="97" t="s">
        <v>82</v>
      </c>
      <c r="T3" s="94" t="s">
        <v>81</v>
      </c>
      <c r="U3" s="94">
        <v>1.3957</v>
      </c>
      <c r="V3" s="94">
        <v>0</v>
      </c>
      <c r="W3" s="97" t="s">
        <v>88</v>
      </c>
      <c r="X3" s="94"/>
      <c r="Y3" s="94">
        <v>-0.481</v>
      </c>
      <c r="Z3" s="94">
        <v>0</v>
      </c>
      <c r="AA3" s="94">
        <v>1.2</v>
      </c>
      <c r="AB3" s="94"/>
      <c r="AC3" s="94"/>
      <c r="AD3" s="96"/>
      <c r="AE3" s="88"/>
    </row>
    <row r="4" spans="2:31" ht="13.5" thickTop="1">
      <c r="B4" s="11"/>
      <c r="C4" s="11"/>
      <c r="D4" s="11"/>
      <c r="E4" s="11"/>
      <c r="F4" s="11"/>
      <c r="G4" s="11"/>
      <c r="I4" s="93"/>
      <c r="J4" s="94"/>
      <c r="K4" s="94"/>
      <c r="L4" s="94"/>
      <c r="M4" s="94"/>
      <c r="N4" s="94"/>
      <c r="O4" s="94"/>
      <c r="P4" s="94" t="s">
        <v>17</v>
      </c>
      <c r="Q4" s="94" t="s">
        <v>26</v>
      </c>
      <c r="R4" s="94" t="s">
        <v>29</v>
      </c>
      <c r="S4" s="94" t="s">
        <v>83</v>
      </c>
      <c r="T4" s="94" t="s">
        <v>81</v>
      </c>
      <c r="U4" s="94">
        <v>1.81441</v>
      </c>
      <c r="V4" s="94">
        <v>0</v>
      </c>
      <c r="W4" s="97" t="s">
        <v>88</v>
      </c>
      <c r="X4" s="94"/>
      <c r="Y4" s="94">
        <v>-0.481</v>
      </c>
      <c r="Z4" s="94">
        <v>0</v>
      </c>
      <c r="AA4" s="94">
        <v>1.2</v>
      </c>
      <c r="AB4" s="94"/>
      <c r="AC4" s="94"/>
      <c r="AD4" s="96"/>
      <c r="AE4" s="88"/>
    </row>
    <row r="5" spans="1:31" ht="18" customHeight="1" thickBot="1">
      <c r="A5" s="12"/>
      <c r="B5" s="13" t="s">
        <v>46</v>
      </c>
      <c r="C5" s="14"/>
      <c r="D5" s="13" t="str">
        <f>IF($I$2="非住宅建築物","熱源・空調系統名：","")&amp;IF($I$2="住宅","空調する室等（参考入力）：","")</f>
        <v>熱源・空調系統名：</v>
      </c>
      <c r="E5" s="38"/>
      <c r="F5" s="38"/>
      <c r="G5" s="15"/>
      <c r="I5" s="93"/>
      <c r="J5" s="94"/>
      <c r="K5" s="94"/>
      <c r="L5" s="94"/>
      <c r="M5" s="94"/>
      <c r="N5" s="94"/>
      <c r="O5" s="94"/>
      <c r="P5" s="94" t="s">
        <v>18</v>
      </c>
      <c r="Q5" s="94" t="s">
        <v>27</v>
      </c>
      <c r="R5" s="94" t="s">
        <v>30</v>
      </c>
      <c r="S5" s="94" t="s">
        <v>84</v>
      </c>
      <c r="T5" s="94" t="s">
        <v>81</v>
      </c>
      <c r="U5" s="94">
        <v>1.6938870000000001</v>
      </c>
      <c r="V5" s="94">
        <v>0</v>
      </c>
      <c r="W5" s="97" t="s">
        <v>89</v>
      </c>
      <c r="X5" s="94"/>
      <c r="Y5" s="94">
        <v>-0.439</v>
      </c>
      <c r="Z5" s="94">
        <v>0</v>
      </c>
      <c r="AA5" s="94">
        <v>0.7</v>
      </c>
      <c r="AB5" s="94"/>
      <c r="AC5" s="94"/>
      <c r="AD5" s="96"/>
      <c r="AE5" s="88"/>
    </row>
    <row r="6" spans="1:31" ht="27" customHeight="1" thickBot="1" thickTop="1">
      <c r="A6" s="12"/>
      <c r="B6" s="7" t="s">
        <v>2</v>
      </c>
      <c r="C6" s="6"/>
      <c r="D6" s="7" t="s">
        <v>8</v>
      </c>
      <c r="E6" s="39"/>
      <c r="F6" s="39"/>
      <c r="G6" s="6"/>
      <c r="H6" s="16"/>
      <c r="I6" s="93"/>
      <c r="J6" s="94"/>
      <c r="K6" s="94"/>
      <c r="L6" s="94"/>
      <c r="M6" s="94"/>
      <c r="N6" s="94"/>
      <c r="O6" s="94"/>
      <c r="P6" s="94" t="s">
        <v>19</v>
      </c>
      <c r="Q6" s="94" t="s">
        <v>113</v>
      </c>
      <c r="R6" s="94"/>
      <c r="S6" s="97" t="s">
        <v>99</v>
      </c>
      <c r="T6" s="97" t="s">
        <v>104</v>
      </c>
      <c r="U6" s="94">
        <v>1.2344</v>
      </c>
      <c r="V6" s="94">
        <v>-0.5953</v>
      </c>
      <c r="W6" s="97" t="s">
        <v>106</v>
      </c>
      <c r="X6" s="97" t="s">
        <v>107</v>
      </c>
      <c r="Y6" s="97">
        <v>-0.2383</v>
      </c>
      <c r="Z6" s="97">
        <v>0.0475</v>
      </c>
      <c r="AA6" s="94">
        <v>1.2</v>
      </c>
      <c r="AB6" s="94"/>
      <c r="AC6" s="94"/>
      <c r="AD6" s="96"/>
      <c r="AE6" s="88"/>
    </row>
    <row r="7" spans="2:31" ht="14.25" customHeight="1" thickTop="1">
      <c r="B7" s="17"/>
      <c r="C7" s="17"/>
      <c r="D7" s="17"/>
      <c r="E7" s="17"/>
      <c r="F7" s="17"/>
      <c r="G7" s="17"/>
      <c r="H7" s="16"/>
      <c r="I7" s="93"/>
      <c r="J7" s="94"/>
      <c r="K7" s="94"/>
      <c r="L7" s="94"/>
      <c r="M7" s="94"/>
      <c r="N7" s="94"/>
      <c r="O7" s="94"/>
      <c r="P7" s="94" t="s">
        <v>20</v>
      </c>
      <c r="Q7" s="94" t="s">
        <v>114</v>
      </c>
      <c r="R7" s="94"/>
      <c r="S7" s="97" t="s">
        <v>105</v>
      </c>
      <c r="T7" s="97" t="s">
        <v>101</v>
      </c>
      <c r="U7" s="94">
        <v>1.0246</v>
      </c>
      <c r="V7" s="97">
        <v>-0.2606</v>
      </c>
      <c r="W7" s="97" t="s">
        <v>108</v>
      </c>
      <c r="X7" s="97" t="s">
        <v>109</v>
      </c>
      <c r="Y7" s="97">
        <v>-0.2943</v>
      </c>
      <c r="Z7" s="97">
        <v>0.0613</v>
      </c>
      <c r="AA7" s="94">
        <v>1.2</v>
      </c>
      <c r="AB7" s="94"/>
      <c r="AC7" s="94"/>
      <c r="AD7" s="96"/>
      <c r="AE7" s="88"/>
    </row>
    <row r="8" spans="2:31" ht="18" customHeight="1">
      <c r="B8" s="11" t="s">
        <v>3</v>
      </c>
      <c r="C8" s="11"/>
      <c r="D8" s="11"/>
      <c r="E8" s="11"/>
      <c r="F8" s="11"/>
      <c r="G8" s="11"/>
      <c r="H8" s="16"/>
      <c r="I8" s="93"/>
      <c r="J8" s="94"/>
      <c r="K8" s="94"/>
      <c r="L8" s="94"/>
      <c r="M8" s="94"/>
      <c r="N8" s="94"/>
      <c r="O8" s="94"/>
      <c r="P8" s="94" t="s">
        <v>21</v>
      </c>
      <c r="Q8" s="94" t="s">
        <v>65</v>
      </c>
      <c r="R8" s="94"/>
      <c r="S8" s="94" t="s">
        <v>85</v>
      </c>
      <c r="T8" s="97" t="s">
        <v>102</v>
      </c>
      <c r="U8" s="94">
        <v>1.6275</v>
      </c>
      <c r="V8" s="94">
        <f>-0.881</f>
        <v>-0.881</v>
      </c>
      <c r="W8" s="97" t="s">
        <v>90</v>
      </c>
      <c r="X8" s="97" t="s">
        <v>110</v>
      </c>
      <c r="Y8" s="97">
        <v>-0.6618</v>
      </c>
      <c r="Z8" s="94">
        <f>0.055</f>
        <v>0.055</v>
      </c>
      <c r="AA8" s="94">
        <v>1.2</v>
      </c>
      <c r="AB8" s="94"/>
      <c r="AC8" s="94"/>
      <c r="AD8" s="96"/>
      <c r="AE8" s="88"/>
    </row>
    <row r="9" spans="1:31" ht="18" customHeight="1" thickBot="1">
      <c r="A9" s="12"/>
      <c r="B9" s="18" t="s">
        <v>7</v>
      </c>
      <c r="C9" s="150" t="s">
        <v>62</v>
      </c>
      <c r="D9" s="151"/>
      <c r="E9" s="151"/>
      <c r="F9" s="152"/>
      <c r="G9" s="19" t="s">
        <v>31</v>
      </c>
      <c r="I9" s="98">
        <f>IF(D12="","",MATCH(D$12,$Q$1:$Q$9,0))</f>
        <v>5</v>
      </c>
      <c r="J9" s="99">
        <f>IF(E12="","",MATCH(E$12,$Q$1:$Q$9,0))</f>
        <v>6</v>
      </c>
      <c r="K9" s="99">
        <f>IF(F12="","",MATCH(F$12,$Q$1:$Q$9,0))</f>
        <v>9</v>
      </c>
      <c r="L9" s="94"/>
      <c r="M9" s="94"/>
      <c r="N9" s="94"/>
      <c r="O9" s="94"/>
      <c r="P9" s="94" t="s">
        <v>22</v>
      </c>
      <c r="Q9" s="94" t="s">
        <v>115</v>
      </c>
      <c r="R9" s="94"/>
      <c r="S9" s="94" t="s">
        <v>100</v>
      </c>
      <c r="T9" s="97" t="s">
        <v>103</v>
      </c>
      <c r="U9" s="94">
        <v>1.9231</v>
      </c>
      <c r="V9" s="94">
        <v>-1.0518</v>
      </c>
      <c r="W9" s="97" t="s">
        <v>111</v>
      </c>
      <c r="X9" s="97" t="s">
        <v>112</v>
      </c>
      <c r="Y9" s="97">
        <v>-0.6564</v>
      </c>
      <c r="Z9" s="97">
        <v>0.2325</v>
      </c>
      <c r="AA9" s="94">
        <v>1.2</v>
      </c>
      <c r="AB9" s="94"/>
      <c r="AC9" s="94"/>
      <c r="AD9" s="96"/>
      <c r="AE9" s="88"/>
    </row>
    <row r="10" spans="1:31" ht="27" customHeight="1" thickBot="1" thickTop="1">
      <c r="A10" s="12"/>
      <c r="B10" s="35" t="s">
        <v>14</v>
      </c>
      <c r="C10" s="40" t="s">
        <v>37</v>
      </c>
      <c r="D10" s="153" t="s">
        <v>18</v>
      </c>
      <c r="E10" s="154"/>
      <c r="F10" s="155"/>
      <c r="G10" s="42" t="s">
        <v>126</v>
      </c>
      <c r="I10" s="98" t="str">
        <f>IF(OR($D$10="1地域",$D$10="2地域",$D$10="3地域",AND($I$2="住宅",$D$10="4地域")),"H","maxHC")</f>
        <v>H</v>
      </c>
      <c r="J10" s="94"/>
      <c r="K10" s="94"/>
      <c r="L10" s="94"/>
      <c r="M10" s="94"/>
      <c r="N10" s="94"/>
      <c r="O10" s="94"/>
      <c r="P10" s="94" t="s">
        <v>23</v>
      </c>
      <c r="Q10" s="94"/>
      <c r="R10" s="94"/>
      <c r="S10" s="94"/>
      <c r="T10" s="94"/>
      <c r="U10" s="94"/>
      <c r="V10" s="94"/>
      <c r="W10" s="94"/>
      <c r="X10" s="94"/>
      <c r="Y10" s="94"/>
      <c r="Z10" s="94"/>
      <c r="AA10" s="94"/>
      <c r="AB10" s="94"/>
      <c r="AC10" s="94"/>
      <c r="AD10" s="96"/>
      <c r="AE10" s="88"/>
    </row>
    <row r="11" spans="1:31" ht="59.25" customHeight="1" thickBot="1" thickTop="1">
      <c r="A11" s="12"/>
      <c r="B11" s="156" t="s">
        <v>44</v>
      </c>
      <c r="C11" s="157"/>
      <c r="D11" s="50" t="s">
        <v>40</v>
      </c>
      <c r="E11" s="50" t="s">
        <v>41</v>
      </c>
      <c r="F11" s="50" t="s">
        <v>42</v>
      </c>
      <c r="G11" s="44" t="s">
        <v>127</v>
      </c>
      <c r="I11" s="98"/>
      <c r="J11" s="94"/>
      <c r="K11" s="94"/>
      <c r="L11" s="94"/>
      <c r="M11" s="94"/>
      <c r="N11" s="94"/>
      <c r="O11" s="94"/>
      <c r="P11" s="94"/>
      <c r="Q11" s="94"/>
      <c r="R11" s="94"/>
      <c r="S11" s="94"/>
      <c r="T11" s="94"/>
      <c r="U11" s="94"/>
      <c r="V11" s="94"/>
      <c r="W11" s="94"/>
      <c r="X11" s="94"/>
      <c r="Y11" s="94"/>
      <c r="Z11" s="94"/>
      <c r="AA11" s="94"/>
      <c r="AB11" s="94"/>
      <c r="AC11" s="94"/>
      <c r="AD11" s="96"/>
      <c r="AE11" s="88"/>
    </row>
    <row r="12" spans="1:31" ht="71.25" customHeight="1" thickTop="1">
      <c r="A12" s="12"/>
      <c r="B12" s="35" t="s">
        <v>93</v>
      </c>
      <c r="C12" s="40" t="s">
        <v>37</v>
      </c>
      <c r="D12" s="82" t="s">
        <v>43</v>
      </c>
      <c r="E12" s="83" t="s">
        <v>113</v>
      </c>
      <c r="F12" s="52" t="s">
        <v>115</v>
      </c>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3">
        <f ca="1">IF($D$13=$R$5,INDIRECT(ADDRESS(MATCH('【記入例-2】'!$D$12,$Q$1:$Q$9,0),COLUMN($AA$1))),$D$14)</f>
        <v>0.7</v>
      </c>
      <c r="J12" s="94">
        <f ca="1">IF($E$13=$R$5,INDIRECT(ADDRESS(MATCH('【記入例-2】'!$E$12,$Q$1:$Q$9,0),COLUMN($AA$1))),$E$14)</f>
        <v>1.2</v>
      </c>
      <c r="K12" s="94">
        <f ca="1">IF($F$13=$R$5,INDIRECT(ADDRESS(MATCH('【記入例-2】'!$F$12,$Q$1:$Q$9,0),COLUMN($AA$1))),$F$14)</f>
        <v>1.3</v>
      </c>
      <c r="L12" s="94"/>
      <c r="M12" s="94"/>
      <c r="N12" s="94"/>
      <c r="O12" s="94"/>
      <c r="P12" s="94"/>
      <c r="Q12" s="94"/>
      <c r="R12" s="94"/>
      <c r="S12" s="94"/>
      <c r="T12" s="94"/>
      <c r="U12" s="94"/>
      <c r="V12" s="94"/>
      <c r="W12" s="94"/>
      <c r="X12" s="94"/>
      <c r="Y12" s="94"/>
      <c r="Z12" s="94"/>
      <c r="AA12" s="94"/>
      <c r="AB12" s="94"/>
      <c r="AC12" s="94"/>
      <c r="AD12" s="96"/>
      <c r="AE12" s="88"/>
    </row>
    <row r="13" spans="1:31" ht="58.5" customHeight="1">
      <c r="A13" s="12"/>
      <c r="B13" s="21" t="s">
        <v>39</v>
      </c>
      <c r="C13" s="46" t="s">
        <v>38</v>
      </c>
      <c r="D13" s="48" t="s">
        <v>30</v>
      </c>
      <c r="E13" s="45" t="s">
        <v>30</v>
      </c>
      <c r="F13" s="49" t="s">
        <v>4</v>
      </c>
      <c r="G13" s="141"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※【構成1】「水平埋設型」において、デフォルト値のλを使う場合は、λ=0.7とする
※【構成2】「大口径固体充填(d&lt;0.6m)」において、デフォルト値のλを使う場合は、λ=1.2とする</v>
      </c>
      <c r="H13" s="16"/>
      <c r="I13" s="93">
        <f ca="1">INDIRECT(ADDRESS(I$9,COLUMN($U$1)))+INDIRECT(ADDRESS(I$9,COLUMN($V$1)))*D16</f>
        <v>1.6938870000000001</v>
      </c>
      <c r="J13" s="94">
        <f ca="1">INDIRECT(ADDRESS(J$9,COLUMN($U$1)))+INDIRECT(ADDRESS(J$9,COLUMN($V$1)))*E16</f>
        <v>0.9962799999999999</v>
      </c>
      <c r="K13" s="94">
        <f ca="1">INDIRECT(ADDRESS(K$9,COLUMN($U$1)))+INDIRECT(ADDRESS(K$9,COLUMN($V$1)))*F16</f>
        <v>1.3972</v>
      </c>
      <c r="L13" s="94"/>
      <c r="M13" s="94"/>
      <c r="N13" s="94"/>
      <c r="O13" s="94"/>
      <c r="P13" s="94"/>
      <c r="Q13" s="94"/>
      <c r="R13" s="94"/>
      <c r="S13" s="94"/>
      <c r="T13" s="94"/>
      <c r="U13" s="94"/>
      <c r="V13" s="94"/>
      <c r="W13" s="94"/>
      <c r="X13" s="94"/>
      <c r="Y13" s="94"/>
      <c r="Z13" s="94"/>
      <c r="AA13" s="94"/>
      <c r="AB13" s="94"/>
      <c r="AC13" s="94"/>
      <c r="AD13" s="96"/>
      <c r="AE13" s="88"/>
    </row>
    <row r="14" spans="1:31" ht="127.5" customHeight="1">
      <c r="A14" s="12"/>
      <c r="B14" s="22"/>
      <c r="C14" s="47" t="s">
        <v>71</v>
      </c>
      <c r="D14" s="72">
        <v>0.7</v>
      </c>
      <c r="E14" s="73">
        <v>1.2</v>
      </c>
      <c r="F14" s="74">
        <v>1.3</v>
      </c>
      <c r="G14" s="158"/>
      <c r="H14" s="16"/>
      <c r="I14" s="93">
        <f ca="1">INDIRECT(ADDRESS(I$9,COLUMN($Y$1)))+INDIRECT(ADDRESS(I$9,COLUMN($Z$1)))*D16</f>
        <v>-0.439</v>
      </c>
      <c r="J14" s="94">
        <f ca="1">INDIRECT(ADDRESS(J$9,COLUMN($Y$1)))+INDIRECT(ADDRESS(J$9,COLUMN($Z$1)))*E16</f>
        <v>-0.2193</v>
      </c>
      <c r="K14" s="94">
        <f ca="1">INDIRECT(ADDRESS(K$9,COLUMN($Y$1)))+INDIRECT(ADDRESS(K$9,COLUMN($Z$1)))*F16</f>
        <v>-0.54015</v>
      </c>
      <c r="L14" s="94"/>
      <c r="M14" s="94"/>
      <c r="N14" s="94"/>
      <c r="O14" s="94"/>
      <c r="P14" s="94"/>
      <c r="Q14" s="94"/>
      <c r="R14" s="94"/>
      <c r="S14" s="94"/>
      <c r="T14" s="94"/>
      <c r="U14" s="94"/>
      <c r="V14" s="94"/>
      <c r="W14" s="94"/>
      <c r="X14" s="94"/>
      <c r="Y14" s="94"/>
      <c r="Z14" s="94"/>
      <c r="AA14" s="94"/>
      <c r="AB14" s="94"/>
      <c r="AC14" s="94"/>
      <c r="AD14" s="96"/>
      <c r="AE14" s="88"/>
    </row>
    <row r="15" spans="1:31" ht="99.75" customHeight="1">
      <c r="A15" s="12"/>
      <c r="B15" s="33" t="s">
        <v>117</v>
      </c>
      <c r="C15" s="23" t="s">
        <v>66</v>
      </c>
      <c r="D15" s="75">
        <v>75</v>
      </c>
      <c r="E15" s="76">
        <v>100</v>
      </c>
      <c r="F15" s="77">
        <v>50</v>
      </c>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※「大口径固体充填(d&lt;0.6m)」「直接循環型水充填」では地中熱交換器の長さの合計とする。
※「水平埋設型」では地中熱交換器を埋設するトレンチの水平方向長さの合計とする。
※地中熱交換器長は四捨五入して整数とした値で入力するものとする。</v>
      </c>
      <c r="H15" s="24"/>
      <c r="I15" s="93"/>
      <c r="J15" s="94"/>
      <c r="K15" s="94"/>
      <c r="L15" s="94"/>
      <c r="M15" s="94"/>
      <c r="N15" s="94"/>
      <c r="O15" s="94"/>
      <c r="P15" s="94"/>
      <c r="Q15" s="94"/>
      <c r="R15" s="94"/>
      <c r="S15" s="94"/>
      <c r="T15" s="94"/>
      <c r="U15" s="94"/>
      <c r="V15" s="94"/>
      <c r="W15" s="94"/>
      <c r="X15" s="94"/>
      <c r="Y15" s="94"/>
      <c r="Z15" s="94"/>
      <c r="AA15" s="94"/>
      <c r="AB15" s="94"/>
      <c r="AC15" s="94"/>
      <c r="AD15" s="96"/>
      <c r="AE15" s="88"/>
    </row>
    <row r="16" spans="1:31" ht="108.75" customHeight="1">
      <c r="A16" s="12"/>
      <c r="B16" s="84" t="s">
        <v>131</v>
      </c>
      <c r="C16" s="70" t="s">
        <v>130</v>
      </c>
      <c r="D16" s="78">
        <v>0.2</v>
      </c>
      <c r="E16" s="85">
        <v>0.4</v>
      </c>
      <c r="F16" s="86">
        <v>0.5</v>
      </c>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3"/>
      <c r="J16" s="94"/>
      <c r="K16" s="94"/>
      <c r="L16" s="94"/>
      <c r="M16" s="94"/>
      <c r="N16" s="94"/>
      <c r="O16" s="94"/>
      <c r="P16" s="94"/>
      <c r="Q16" s="94"/>
      <c r="R16" s="94"/>
      <c r="S16" s="94"/>
      <c r="T16" s="94"/>
      <c r="U16" s="94"/>
      <c r="V16" s="94"/>
      <c r="W16" s="94"/>
      <c r="X16" s="94"/>
      <c r="Y16" s="94"/>
      <c r="Z16" s="94"/>
      <c r="AA16" s="94"/>
      <c r="AB16" s="94"/>
      <c r="AC16" s="94"/>
      <c r="AD16" s="96"/>
      <c r="AE16" s="88"/>
    </row>
    <row r="17" spans="1:31" ht="36" customHeight="1">
      <c r="A17" s="12"/>
      <c r="B17" s="25" t="s">
        <v>94</v>
      </c>
      <c r="C17" s="36" t="s">
        <v>67</v>
      </c>
      <c r="D17" s="159">
        <v>10</v>
      </c>
      <c r="E17" s="160"/>
      <c r="F17" s="161"/>
      <c r="G17" s="162" t="s">
        <v>35</v>
      </c>
      <c r="H17" s="16"/>
      <c r="I17" s="93"/>
      <c r="J17" s="94"/>
      <c r="K17" s="94"/>
      <c r="L17" s="94"/>
      <c r="M17" s="94"/>
      <c r="N17" s="94"/>
      <c r="O17" s="94"/>
      <c r="P17" s="94"/>
      <c r="Q17" s="94"/>
      <c r="R17" s="94"/>
      <c r="S17" s="94"/>
      <c r="T17" s="94"/>
      <c r="U17" s="94"/>
      <c r="V17" s="94"/>
      <c r="W17" s="94"/>
      <c r="X17" s="94"/>
      <c r="Y17" s="94"/>
      <c r="Z17" s="94"/>
      <c r="AA17" s="94"/>
      <c r="AB17" s="94"/>
      <c r="AC17" s="94"/>
      <c r="AD17" s="96"/>
      <c r="AE17" s="88"/>
    </row>
    <row r="18" spans="1:31" ht="36" customHeight="1">
      <c r="A18" s="12"/>
      <c r="B18" s="22"/>
      <c r="C18" s="36" t="s">
        <v>68</v>
      </c>
      <c r="D18" s="159">
        <v>10</v>
      </c>
      <c r="E18" s="160"/>
      <c r="F18" s="161"/>
      <c r="G18" s="142"/>
      <c r="H18" s="16"/>
      <c r="I18" s="93"/>
      <c r="J18" s="94"/>
      <c r="K18" s="94"/>
      <c r="L18" s="94"/>
      <c r="M18" s="94"/>
      <c r="N18" s="94"/>
      <c r="O18" s="94"/>
      <c r="P18" s="94"/>
      <c r="Q18" s="94"/>
      <c r="R18" s="94"/>
      <c r="S18" s="94"/>
      <c r="T18" s="94"/>
      <c r="U18" s="94"/>
      <c r="V18" s="94"/>
      <c r="W18" s="94"/>
      <c r="X18" s="94"/>
      <c r="Y18" s="94"/>
      <c r="Z18" s="94"/>
      <c r="AA18" s="94"/>
      <c r="AB18" s="94"/>
      <c r="AC18" s="94"/>
      <c r="AD18" s="96"/>
      <c r="AE18" s="88"/>
    </row>
    <row r="19" spans="1:31" ht="36" customHeight="1">
      <c r="A19" s="12"/>
      <c r="B19" s="26" t="s">
        <v>95</v>
      </c>
      <c r="C19" s="36" t="s">
        <v>69</v>
      </c>
      <c r="D19" s="159">
        <v>3</v>
      </c>
      <c r="E19" s="160"/>
      <c r="F19" s="161"/>
      <c r="G19" s="142"/>
      <c r="H19" s="16"/>
      <c r="I19" s="93"/>
      <c r="J19" s="94"/>
      <c r="K19" s="94"/>
      <c r="L19" s="94"/>
      <c r="M19" s="94"/>
      <c r="N19" s="94"/>
      <c r="O19" s="94"/>
      <c r="P19" s="94"/>
      <c r="Q19" s="94"/>
      <c r="R19" s="94"/>
      <c r="S19" s="94"/>
      <c r="T19" s="94"/>
      <c r="U19" s="94"/>
      <c r="V19" s="94"/>
      <c r="W19" s="94"/>
      <c r="X19" s="94"/>
      <c r="Y19" s="94"/>
      <c r="Z19" s="94"/>
      <c r="AA19" s="94"/>
      <c r="AB19" s="94"/>
      <c r="AC19" s="94"/>
      <c r="AD19" s="96"/>
      <c r="AE19" s="88"/>
    </row>
    <row r="20" spans="1:31" ht="31.5" thickBot="1">
      <c r="A20" s="12"/>
      <c r="B20" s="22"/>
      <c r="C20" s="36" t="s">
        <v>70</v>
      </c>
      <c r="D20" s="163">
        <v>3</v>
      </c>
      <c r="E20" s="164"/>
      <c r="F20" s="165"/>
      <c r="G20" s="143"/>
      <c r="H20" s="16"/>
      <c r="I20" s="93" t="str">
        <f ca="1">IF(D$14&gt;0,INDIRECT(ADDRESS(I$9,COLUMN($S$1)))&amp;IF(INDIRECT(ADDRESS(I$9,COLUMN($V$1)))=0,"",ROUND(D16,3))&amp;INDIRECT(ADDRESS(I$9,COLUMN($T$1)))&amp;ROUND(D$14,1)&amp;"^("&amp;INDIRECT(ADDRESS(I$9,COLUMN($W$1)))&amp;IF(INDIRECT(ADDRESS(I$9,COLUMN($V$1)))=0,"",ROUND(D16,3)&amp;INDIRECT(ADDRESS(I$9,COLUMN($X$1))))&amp;")","")</f>
        <v>1.0023×1.3×1.3×0.7^(-0.439)</v>
      </c>
      <c r="J20" s="94"/>
      <c r="K20" s="94"/>
      <c r="L20" s="94"/>
      <c r="M20" s="94"/>
      <c r="N20" s="94"/>
      <c r="O20" s="94"/>
      <c r="P20" s="94"/>
      <c r="Q20" s="94"/>
      <c r="R20" s="94"/>
      <c r="S20" s="94"/>
      <c r="T20" s="94"/>
      <c r="U20" s="94"/>
      <c r="V20" s="94"/>
      <c r="W20" s="94"/>
      <c r="X20" s="94"/>
      <c r="Y20" s="94"/>
      <c r="Z20" s="94"/>
      <c r="AA20" s="94"/>
      <c r="AB20" s="94"/>
      <c r="AC20" s="94"/>
      <c r="AD20" s="96"/>
      <c r="AE20" s="88"/>
    </row>
    <row r="21" spans="4:31" ht="6" customHeight="1" thickTop="1">
      <c r="D21" s="17"/>
      <c r="E21" s="17"/>
      <c r="F21" s="17"/>
      <c r="G21" s="17"/>
      <c r="H21" s="16"/>
      <c r="I21" s="93"/>
      <c r="J21" s="94"/>
      <c r="K21" s="94"/>
      <c r="L21" s="94"/>
      <c r="M21" s="94"/>
      <c r="N21" s="94"/>
      <c r="O21" s="94"/>
      <c r="P21" s="94"/>
      <c r="Q21" s="94"/>
      <c r="R21" s="94"/>
      <c r="S21" s="94"/>
      <c r="T21" s="94"/>
      <c r="U21" s="94"/>
      <c r="V21" s="94"/>
      <c r="W21" s="94"/>
      <c r="X21" s="94"/>
      <c r="Y21" s="94"/>
      <c r="Z21" s="94"/>
      <c r="AA21" s="94"/>
      <c r="AB21" s="94"/>
      <c r="AC21" s="94"/>
      <c r="AD21" s="96"/>
      <c r="AE21" s="88"/>
    </row>
    <row r="22" spans="2:31" ht="18" customHeight="1">
      <c r="B22" s="17" t="s">
        <v>36</v>
      </c>
      <c r="C22" s="27"/>
      <c r="D22" s="17"/>
      <c r="E22" s="17"/>
      <c r="F22" s="17"/>
      <c r="G22" s="17"/>
      <c r="I22" s="93"/>
      <c r="J22" s="94" t="str">
        <f ca="1">IF(E$14&gt;0,INDIRECT(ADDRESS(J$9,COLUMN($S$1)))&amp;IF(INDIRECT(ADDRESS(J$9,COLUMN($V$1)))=0,"",ROUND(E16,3))&amp;INDIRECT(ADDRESS(J$9,COLUMN($T$1)))&amp;ROUND(E$14,1)&amp;"^("&amp;INDIRECT(ADDRESS(J$9,COLUMN($W$1)))&amp;IF(INDIRECT(ADDRESS(J$9,COLUMN($V$1)))=0,"",ROUND(E16,3)&amp;INDIRECT(ADDRESS(J$9,COLUMN($X$1))))&amp;")","")</f>
        <v>(-0.5953×0.4+1.2344)×1.2^(0.0475×0.4-0.2383)</v>
      </c>
      <c r="K22" s="94"/>
      <c r="L22" s="94"/>
      <c r="M22" s="94"/>
      <c r="N22" s="94"/>
      <c r="O22" s="94"/>
      <c r="P22" s="94"/>
      <c r="Q22" s="94"/>
      <c r="R22" s="94"/>
      <c r="S22" s="94"/>
      <c r="T22" s="94"/>
      <c r="U22" s="94"/>
      <c r="V22" s="94"/>
      <c r="W22" s="94"/>
      <c r="X22" s="94"/>
      <c r="Y22" s="94"/>
      <c r="Z22" s="94"/>
      <c r="AA22" s="94"/>
      <c r="AB22" s="94"/>
      <c r="AC22" s="94"/>
      <c r="AD22" s="96"/>
      <c r="AE22" s="88"/>
    </row>
    <row r="23" spans="2:31" ht="27" customHeight="1">
      <c r="B23" s="18"/>
      <c r="C23" s="144" t="s">
        <v>61</v>
      </c>
      <c r="D23" s="145"/>
      <c r="E23" s="145"/>
      <c r="F23" s="146"/>
      <c r="G23" s="20" t="s">
        <v>116</v>
      </c>
      <c r="I23" s="93"/>
      <c r="J23" s="94"/>
      <c r="K23" s="94" t="str">
        <f ca="1">IF(F$14&gt;0,INDIRECT(ADDRESS(K$9,COLUMN($S$1)))&amp;IF(INDIRECT(ADDRESS(K$9,COLUMN($V$1)))=0,"",ROUND(F16,3))&amp;INDIRECT(ADDRESS(K$9,COLUMN($T$1)))&amp;ROUND(F$14,1)&amp;"^("&amp;INDIRECT(ADDRESS(K$9,COLUMN($W$1)))&amp;IF(INDIRECT(ADDRESS(K$9,COLUMN($V$1)))=0,"",ROUND(F16,3)&amp;INDIRECT(ADDRESS(K$9,COLUMN($X$1))))&amp;")","")</f>
        <v>(-1.0518×0.5+1.9231)×1.3^(0.2325×0.5-0.6564)</v>
      </c>
      <c r="L23" s="94"/>
      <c r="M23" s="94"/>
      <c r="N23" s="94"/>
      <c r="O23" s="94"/>
      <c r="P23" s="94"/>
      <c r="Q23" s="94"/>
      <c r="R23" s="94"/>
      <c r="S23" s="94"/>
      <c r="T23" s="94"/>
      <c r="U23" s="94"/>
      <c r="V23" s="94"/>
      <c r="W23" s="94"/>
      <c r="X23" s="94"/>
      <c r="Y23" s="94"/>
      <c r="Z23" s="94"/>
      <c r="AA23" s="94"/>
      <c r="AB23" s="94"/>
      <c r="AC23" s="94"/>
      <c r="AD23" s="96"/>
      <c r="AE23" s="88"/>
    </row>
    <row r="24" spans="1:31" ht="103.5" customHeight="1">
      <c r="A24" s="12"/>
      <c r="B24" s="21" t="s">
        <v>91</v>
      </c>
      <c r="C24" s="41" t="s">
        <v>72</v>
      </c>
      <c r="D24" s="87">
        <f>IF(D$14&lt;=0,"",ROUND(I13*ROUND(D$14,1)^I14,2))</f>
        <v>1.98</v>
      </c>
      <c r="E24" s="87">
        <f>IF(E$14&lt;=0,"",ROUND(J13*ROUND(E$14,1)^J14,2))</f>
        <v>0.96</v>
      </c>
      <c r="F24" s="87">
        <f>IF(F$14&lt;=0,"",ROUND(K13*ROUND(F$14,1)^K14,2))</f>
        <v>1.21</v>
      </c>
      <c r="G24" s="28" t="str">
        <f>IF(D$14&gt;0,"l1 = "&amp;I20&amp;CHAR(10),"")&amp;IF(E$14&gt;0,"l2 = "&amp;J22&amp;CHAR(10),"")&amp;IF(F$14&gt;0,"l3 = "&amp;K23&amp;CHAR(10),"")&amp;" ※liは小数点以下2桁とする"</f>
        <v>l1 = 1.0023×1.3×1.3×0.7^(-0.439)
l2 = (-0.5953×0.4+1.2344)×1.2^(0.0475×0.4-0.2383)
l3 = (-1.0518×0.5+1.9231)×1.3^(0.2325×0.5-0.6564)
 ※liは小数点以下2桁とする</v>
      </c>
      <c r="H24" s="9"/>
      <c r="I24" s="93" t="b">
        <f>OR(D$24&lt;&gt;IF(D$14&lt;=0,"",ROUND(I13*ROUND(D$14,1)^I14,2)),E$24&lt;&gt;IF(E$14&lt;=0,"",ROUND(J13*ROUND(E$14,1)^J14,2)),F$24&lt;&gt;IF(F$14&lt;=0,"",ROUND(K13*ROUND(F$14,1)^K14,2)))</f>
        <v>0</v>
      </c>
      <c r="J24" s="94"/>
      <c r="K24" s="94"/>
      <c r="L24" s="94"/>
      <c r="M24" s="94"/>
      <c r="N24" s="94"/>
      <c r="O24" s="94"/>
      <c r="P24" s="94"/>
      <c r="Q24" s="94"/>
      <c r="R24" s="94"/>
      <c r="S24" s="94"/>
      <c r="T24" s="94"/>
      <c r="U24" s="94"/>
      <c r="V24" s="94"/>
      <c r="W24" s="94"/>
      <c r="X24" s="94"/>
      <c r="Y24" s="94"/>
      <c r="Z24" s="94"/>
      <c r="AA24" s="94"/>
      <c r="AB24" s="94"/>
      <c r="AC24" s="94"/>
      <c r="AD24" s="96"/>
      <c r="AE24" s="88"/>
    </row>
    <row r="25" spans="1:8" ht="65.25" customHeight="1">
      <c r="A25" s="12"/>
      <c r="B25" s="31"/>
      <c r="C25" s="41" t="s">
        <v>73</v>
      </c>
      <c r="D25" s="81">
        <f>IF(AND(D15&gt;0,D24&gt;0,D14&gt;0),ROUND(D$15/D$24,0),"")</f>
        <v>38</v>
      </c>
      <c r="E25" s="81">
        <f>IF(AND(E15&gt;0,E24&gt;0,E14&gt;0),ROUND(E$15/E$24,0),"")</f>
        <v>104</v>
      </c>
      <c r="F25" s="81">
        <f>IF(AND(F15&gt;0,F24&gt;0,F14&gt;0),ROUND(F$15/F$24,0),"")</f>
        <v>41</v>
      </c>
      <c r="G25" s="28" t="str">
        <f>IF(AND(D15&gt;0,D24&gt;0,D14&gt;0)," L1' = L1/l1 = "&amp;D$15&amp;"/"&amp;ROUND(D$24,2)&amp;CHAR(10),"")&amp;IF(AND(E15&gt;0,E24&gt;0,E14&gt;0)," L2' = L2/l2 = "&amp;E$15&amp;"/"&amp;ROUND(E$24,2)&amp;CHAR(10),"")&amp;IF(AND(F15&gt;0,F24&gt;0,F14&gt;0)," L3' = L3/l3 = "&amp;F$15&amp;"/"&amp;ROUND(F$24,2)&amp;CHAR(10),"")&amp;" ※Li'は整数とする"</f>
        <v> L1' = L1/l1 = 75/1.98
 L2' = L2/l2 = 100/0.96
 L3' = L3/l3 = 50/1.21
 ※Li'は整数とする</v>
      </c>
      <c r="H25" s="9"/>
    </row>
    <row r="26" spans="1:12" ht="28.5" customHeight="1">
      <c r="A26" s="12"/>
      <c r="B26" s="22"/>
      <c r="C26" s="41" t="s">
        <v>74</v>
      </c>
      <c r="D26" s="136">
        <f>IF(SUM(D25:F25)&gt;0,SUM(D25:F25),"")</f>
        <v>183</v>
      </c>
      <c r="E26" s="136"/>
      <c r="F26" s="136"/>
      <c r="G26" s="28" t="str">
        <f>IF(D26="",""," L' = Σ Li' ="&amp;IF(D25&lt;&gt;"",ROUND(D25,0),"")&amp;IF(AND(D25&lt;&gt;"",E25&lt;&gt;""),"+","")&amp;IF(E25&lt;&gt;"",ROUND(E25,0),"")&amp;IF(F25&lt;&gt;"","+","")&amp;IF(F25&lt;&gt;"",ROUND(F25,0),""))</f>
        <v> L' = Σ Li' =38+104+41</v>
      </c>
      <c r="H26" s="16"/>
      <c r="J26" s="104"/>
      <c r="K26" s="104"/>
      <c r="L26" s="104"/>
    </row>
    <row r="27" spans="1:7" ht="28.5" customHeight="1">
      <c r="A27" s="12"/>
      <c r="B27" s="29" t="s">
        <v>9</v>
      </c>
      <c r="C27" s="41" t="s">
        <v>75</v>
      </c>
      <c r="D27" s="166" t="str">
        <f>IF(OR(D17="",D19=""),"",IF($I$10="H","―",ROUND($D$17+$D$19,1)))</f>
        <v>―</v>
      </c>
      <c r="E27" s="166"/>
      <c r="F27" s="166"/>
      <c r="G27" s="30" t="str">
        <f>IF(D27="","",IF($I$10="H"," ※"&amp;$D$10&amp;"では非考慮 【"&amp;$I$2&amp;"】"," = "&amp;$D$17&amp;" + "&amp;$D$19))</f>
        <v> ※3地域では非考慮 【非住宅建築物】</v>
      </c>
    </row>
    <row r="28" spans="1:7" ht="28.5" customHeight="1">
      <c r="A28" s="12"/>
      <c r="B28" s="31"/>
      <c r="C28" s="41" t="s">
        <v>76</v>
      </c>
      <c r="D28" s="166">
        <f>IF(OR(D18="",D20=""),"",ROUND($D$18-$D$20,1))</f>
        <v>7</v>
      </c>
      <c r="E28" s="166"/>
      <c r="F28" s="166"/>
      <c r="G28" s="30" t="str">
        <f>IF(D28="",""," = "&amp;$D$18&amp;" - "&amp;$D$20)</f>
        <v> = 10 - 3</v>
      </c>
    </row>
    <row r="29" spans="1:7" ht="28.5" customHeight="1">
      <c r="A29" s="12"/>
      <c r="B29" s="32"/>
      <c r="C29" s="41" t="s">
        <v>77</v>
      </c>
      <c r="D29" s="166">
        <f>IF(OR(D27="",D28=""),"",IF($I$10="H",$D$28,MAX($D$27:$F$28)))</f>
        <v>7</v>
      </c>
      <c r="E29" s="166"/>
      <c r="F29" s="166"/>
      <c r="G29" s="30" t="str">
        <f>IF(D29="","",IF($I$10="H"," ← H = HH' = "&amp;$D$28&amp;"  ("&amp;$D$10&amp;")"," ← H = "&amp;MAX($D$27:$D$28)&amp;"≧"&amp;MIN($D$27:$D$28)))</f>
        <v> ← H = HH' = 7  (3地域)</v>
      </c>
    </row>
    <row r="30" spans="1:7" ht="28.5" customHeight="1">
      <c r="A30" s="12"/>
      <c r="B30" s="20" t="s">
        <v>32</v>
      </c>
      <c r="C30" s="41" t="s">
        <v>78</v>
      </c>
      <c r="D30" s="166">
        <f>IF(OR(D26="",D29=""),"",ROUND(1000*$D$29/$D$26,1))</f>
        <v>38.3</v>
      </c>
      <c r="E30" s="166"/>
      <c r="F30" s="166"/>
      <c r="G30" s="28" t="str">
        <f>IF(D30="",""," Q' = 1000×H/L' = 1000×"&amp;$D$29&amp;"/"&amp;ROUND($D$26,1)&amp;CHAR(10)&amp;" ※Q'は小数点以下1桁とする")</f>
        <v> Q' = 1000×H/L' = 1000×7/183
 ※Q'は小数点以下1桁とする</v>
      </c>
    </row>
    <row r="31" spans="1:7" ht="28.5" customHeight="1">
      <c r="A31" s="12"/>
      <c r="B31" s="18" t="s">
        <v>11</v>
      </c>
      <c r="C31" s="51"/>
      <c r="D31" s="138" t="str">
        <f>IF(D30="","",IF($D$30&lt;30,"タイプ1",IF($D$30&lt;50,"タイプ2",IF($D$30&lt;70,"タイプ3",IF($D$30&lt;90,"タイプ4",IF($D$30&gt;=90,"タイプ5",""))))))</f>
        <v>タイプ2</v>
      </c>
      <c r="E31" s="138"/>
      <c r="F31" s="139"/>
      <c r="G31" s="30" t="str">
        <f>IF(D31="","",IF($D$30&lt;30," ← Q'＜30[W/m]",IF($D$30&lt;50," ← 30≦Q'＜50[W/m]",IF($D$30&lt;70," ← 50≦Q'＜70[W/m]",IF($D$30&lt;90," ← 70≦Q'＜90[W/m]",IF($D$30&gt;=90," ← Q'≧90[W/m]",""))))))</f>
        <v> ← 30≦Q'＜50[W/m]</v>
      </c>
    </row>
    <row r="32" spans="2:6" ht="12.75">
      <c r="B32" s="17"/>
      <c r="C32" s="17"/>
      <c r="D32" s="17"/>
      <c r="E32" s="17"/>
      <c r="F32" s="17"/>
    </row>
    <row r="33" spans="2:7" ht="12.75">
      <c r="B33" s="133" t="s">
        <v>33</v>
      </c>
      <c r="C33" s="134"/>
      <c r="D33" s="134"/>
      <c r="E33" s="134"/>
      <c r="F33" s="134"/>
      <c r="G33" s="135"/>
    </row>
    <row r="34" spans="2:7" ht="28.5" customHeight="1">
      <c r="B34" s="133" t="s">
        <v>34</v>
      </c>
      <c r="C34" s="134"/>
      <c r="D34" s="134"/>
      <c r="E34" s="134"/>
      <c r="F34" s="134"/>
      <c r="G34" s="135"/>
    </row>
    <row r="35" spans="2:7" ht="27" customHeight="1">
      <c r="B35" s="133" t="s">
        <v>13</v>
      </c>
      <c r="C35" s="134"/>
      <c r="D35" s="134"/>
      <c r="E35" s="134"/>
      <c r="F35" s="134"/>
      <c r="G35" s="135"/>
    </row>
    <row r="36" spans="2:7" ht="30" customHeight="1">
      <c r="B36" s="133" t="s">
        <v>45</v>
      </c>
      <c r="C36" s="134"/>
      <c r="D36" s="134"/>
      <c r="E36" s="134"/>
      <c r="F36" s="134"/>
      <c r="G36" s="135"/>
    </row>
    <row r="37" spans="2:7" ht="12.75">
      <c r="B37" s="133" t="s">
        <v>128</v>
      </c>
      <c r="C37" s="134"/>
      <c r="D37" s="134"/>
      <c r="E37" s="134"/>
      <c r="F37" s="134"/>
      <c r="G37" s="135"/>
    </row>
    <row r="38" spans="2:7" ht="30" customHeight="1">
      <c r="B38" s="133" t="s">
        <v>129</v>
      </c>
      <c r="C38" s="134"/>
      <c r="D38" s="134"/>
      <c r="E38" s="134"/>
      <c r="F38" s="134"/>
      <c r="G38" s="135"/>
    </row>
    <row r="39" ht="3.75" customHeight="1"/>
  </sheetData>
  <sheetProtection/>
  <mergeCells count="22">
    <mergeCell ref="B38:G38"/>
    <mergeCell ref="D31:F31"/>
    <mergeCell ref="B33:G33"/>
    <mergeCell ref="B34:G34"/>
    <mergeCell ref="B35:G35"/>
    <mergeCell ref="B36:G36"/>
    <mergeCell ref="B37:G37"/>
    <mergeCell ref="C23:F23"/>
    <mergeCell ref="D26:F26"/>
    <mergeCell ref="D27:F27"/>
    <mergeCell ref="D28:F28"/>
    <mergeCell ref="D29:F29"/>
    <mergeCell ref="D30:F30"/>
    <mergeCell ref="C9:F9"/>
    <mergeCell ref="D10:F10"/>
    <mergeCell ref="B11:C11"/>
    <mergeCell ref="G13:G14"/>
    <mergeCell ref="D17:F17"/>
    <mergeCell ref="G17:G20"/>
    <mergeCell ref="D18:F18"/>
    <mergeCell ref="D19:F19"/>
    <mergeCell ref="D20:F20"/>
  </mergeCells>
  <conditionalFormatting sqref="G24">
    <cfRule type="expression" priority="15" dxfId="63" stopIfTrue="1">
      <formula>$I$24</formula>
    </cfRule>
  </conditionalFormatting>
  <conditionalFormatting sqref="G25">
    <cfRule type="expression" priority="16" dxfId="63" stopIfTrue="1">
      <formula>OR('【記入例-2】'!#REF!&lt;&gt;IF(AND('【記入例-2】'!#REF!&gt;0,'【記入例-2】'!#REF!&gt;0,'【記入例-2】'!#REF!&gt;0),ROUND('【記入例-2】'!#REF!/'【記入例-2】'!#REF!,0),""),'【記入例-2】'!#REF!&lt;&gt;IF(AND('【記入例-2】'!#REF!&gt;0,'【記入例-2】'!#REF!&gt;0,'【記入例-2】'!#REF!&gt;0),ROUND('【記入例-2】'!#REF!/'【記入例-2】'!#REF!,0),""),'【記入例-2】'!#REF!&lt;&gt;IF(AND('【記入例-2】'!#REF!&gt;0,'【記入例-2】'!#REF!&gt;0,'【記入例-2】'!#REF!&gt;0),ROUND('【記入例-2】'!#REF!/'【記入例-2】'!#REF!,0),""))</formula>
    </cfRule>
  </conditionalFormatting>
  <conditionalFormatting sqref="G28">
    <cfRule type="expression" priority="19" dxfId="63" stopIfTrue="1">
      <formula>ROUND($D$28,1)&lt;&gt;ROUND($D$18-$D$20,1)</formula>
    </cfRule>
  </conditionalFormatting>
  <conditionalFormatting sqref="G30">
    <cfRule type="expression" priority="20" dxfId="63" stopIfTrue="1">
      <formula>$D$30&lt;&gt;ROUND(1000*$D$29/$D$26,1)</formula>
    </cfRule>
  </conditionalFormatting>
  <conditionalFormatting sqref="G31">
    <cfRule type="expression" priority="21" dxfId="63" stopIfTrue="1">
      <formula>ROUND($D$31,2)&lt;&gt;ROUND(IF($D$30&lt;30,"タイプ1",IF($D$30&lt;50,"タイプ2",IF($D$30&lt;70,"タイプ3",IF($D$30&lt;90,"タイプ4",IF($D$30&gt;=90,"タイプ5",""))))),2)</formula>
    </cfRule>
  </conditionalFormatting>
  <conditionalFormatting sqref="G27">
    <cfRule type="expression" priority="18" dxfId="63" stopIfTrue="1">
      <formula>ROUND($D$27,2)&lt;&gt;ROUND(IF($I$10="H","―",ROUND($D$17+$D$19,1)),2)</formula>
    </cfRule>
  </conditionalFormatting>
  <conditionalFormatting sqref="G29">
    <cfRule type="expression" priority="22" dxfId="63" stopIfTrue="1">
      <formula>ROUND($D$29,2)&lt;&gt;ROUND(IF($I$10="H",$D$28,MAX($D$27:$D$28)),2)</formula>
    </cfRule>
  </conditionalFormatting>
  <conditionalFormatting sqref="G26">
    <cfRule type="expression" priority="17" dxfId="64" stopIfTrue="1">
      <formula>ROUND($D$26,1)&lt;&gt;ROUND(SUM('【記入例-2】'!#REF!),1)</formula>
    </cfRule>
  </conditionalFormatting>
  <conditionalFormatting sqref="F12:F14">
    <cfRule type="expression" priority="7" dxfId="63" stopIfTrue="1">
      <formula>$F$14&lt;&gt;$K$12</formula>
    </cfRule>
  </conditionalFormatting>
  <conditionalFormatting sqref="E12:E14">
    <cfRule type="expression" priority="6" dxfId="64" stopIfTrue="1">
      <formula>$E$14&lt;&gt;$J$12</formula>
    </cfRule>
  </conditionalFormatting>
  <conditionalFormatting sqref="D12:D14">
    <cfRule type="expression" priority="5" dxfId="64" stopIfTrue="1">
      <formula>$D$14&lt;&gt;$I$12</formula>
    </cfRule>
  </conditionalFormatting>
  <conditionalFormatting sqref="D16:F16">
    <cfRule type="expression" priority="4" dxfId="62">
      <formula>MATCH(D12,$Q$1:$Q$8,0)&lt;=5</formula>
    </cfRule>
  </conditionalFormatting>
  <conditionalFormatting sqref="D16 D12">
    <cfRule type="expression" priority="3" dxfId="64">
      <formula>OR(AND($D$12=$Q$6,$D$16&gt;=0.6),AND($D$12=$Q$7,$D$16&lt;0.6))</formula>
    </cfRule>
  </conditionalFormatting>
  <conditionalFormatting sqref="E16 E12">
    <cfRule type="expression" priority="2" dxfId="64" stopIfTrue="1">
      <formula>OR(AND($E$12=$Q$6,$E$16&gt;=0.6),AND($E$12=$Q$7,$E$16&lt;0.6))</formula>
    </cfRule>
  </conditionalFormatting>
  <conditionalFormatting sqref="F16 F12">
    <cfRule type="expression" priority="1" dxfId="64" stopIfTrue="1">
      <formula>OR(AND($F$12=$Q$6,$F$16&gt;=0.6),AND($F$12=$Q$7,$F$16&lt;0.6))</formula>
    </cfRule>
  </conditionalFormatting>
  <dataValidations count="4">
    <dataValidation type="list" allowBlank="1" showInputMessage="1" showErrorMessage="1" sqref="I2">
      <formula1>"住宅,非住宅建築物"</formula1>
    </dataValidation>
    <dataValidation type="list" allowBlank="1" showInputMessage="1" showErrorMessage="1" sqref="D12:F12">
      <formula1>$Q$2:$Q$9</formula1>
    </dataValidation>
    <dataValidation type="list" allowBlank="1" showInputMessage="1" showErrorMessage="1" sqref="D10">
      <formula1>$P$2:$P$10</formula1>
    </dataValidation>
    <dataValidation type="list" allowBlank="1" showInputMessage="1" showErrorMessage="1" sqref="D13:F13">
      <formula1>$R$2:$R$5</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NishizawaShigeki</dc:creator>
  <cp:keywords/>
  <dc:description/>
  <cp:lastModifiedBy>西澤繁毅</cp:lastModifiedBy>
  <cp:lastPrinted>2020-01-28T05:25:07Z</cp:lastPrinted>
  <dcterms:created xsi:type="dcterms:W3CDTF">1997-01-08T22:48:59Z</dcterms:created>
  <dcterms:modified xsi:type="dcterms:W3CDTF">2020-01-28T05:25:37Z</dcterms:modified>
  <cp:category/>
  <cp:version/>
  <cp:contentType/>
  <cp:contentStatus/>
</cp:coreProperties>
</file>